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home2\02財務部\01財政課\■契約検査係\工事検査係\週休2日工事\20251001_報告様式改修\"/>
    </mc:Choice>
  </mc:AlternateContent>
  <xr:revisionPtr revIDLastSave="0" documentId="13_ncr:1_{4F248F76-BE5B-4BC1-86E9-582C4D6CC7B5}" xr6:coauthVersionLast="47" xr6:coauthVersionMax="47" xr10:uidLastSave="{00000000-0000-0000-0000-000000000000}"/>
  <bookViews>
    <workbookView xWindow="-120" yWindow="-120" windowWidth="29040" windowHeight="15720" xr2:uid="{00000000-000D-0000-FFFF-FFFF00000000}"/>
  </bookViews>
  <sheets>
    <sheet name="マニュアル" sheetId="10" r:id="rId1"/>
    <sheet name="休日取得計画表兼実施報告書" sheetId="3" r:id="rId2"/>
    <sheet name="履行報告書（各月）" sheetId="12" r:id="rId3"/>
    <sheet name="履行報告書(周期)" sheetId="9" r:id="rId4"/>
  </sheets>
  <definedNames>
    <definedName name="_xlnm._FilterDatabase" localSheetId="1" hidden="1">休日取得計画表兼実施報告書!$A$11:$AL$132</definedName>
    <definedName name="_xlnm.Print_Area" localSheetId="0">マニュアル!$A$1:$X$134</definedName>
    <definedName name="_xlnm.Print_Area" localSheetId="1">休日取得計画表兼実施報告書!$A$1:$AH$18</definedName>
    <definedName name="_xlnm.Print_Area" localSheetId="2">'履行報告書（各月）'!$A$1:$AN$36</definedName>
    <definedName name="_xlnm.Print_Area" localSheetId="3">'履行報告書(周期)'!$A$1:$AN$30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5" i="3" l="1"/>
  <c r="AQ9" i="9"/>
  <c r="AB5" i="12"/>
  <c r="AQ7" i="9"/>
  <c r="AR7" i="12"/>
  <c r="AQ8" i="12" l="1"/>
  <c r="J5" i="12"/>
  <c r="S4" i="12"/>
  <c r="G4" i="12"/>
  <c r="AQ7" i="12" l="1"/>
  <c r="U19" i="12" s="1"/>
  <c r="AQ8" i="9"/>
  <c r="AQ6" i="9"/>
  <c r="AI14" i="9" a="1"/>
  <c r="O11" i="9" a="1"/>
  <c r="O21" i="9" a="1"/>
  <c r="O14" i="9" a="1"/>
  <c r="O12" i="9" a="1"/>
  <c r="AI15" i="9" a="1"/>
  <c r="I19" i="9" a="1"/>
  <c r="AI8" i="9" a="1"/>
  <c r="AC12" i="9" a="1"/>
  <c r="AI9" i="9" a="1"/>
  <c r="O17" i="9" a="1"/>
  <c r="AC19" i="9" a="1"/>
  <c r="O18" i="9" a="1"/>
  <c r="O8" i="9" a="1"/>
  <c r="AI11" i="9" a="1"/>
  <c r="O9" i="9" a="1"/>
  <c r="AI21" i="9" a="1"/>
  <c r="AI17" i="9" a="1"/>
  <c r="I12" i="9" a="1"/>
  <c r="O15" i="9" a="1"/>
  <c r="AI20" i="9" a="1"/>
  <c r="O13" i="9" a="1"/>
  <c r="I10" i="9" a="1"/>
  <c r="AI12" i="9" a="1"/>
  <c r="I11" i="9" a="1"/>
  <c r="I18" i="9" a="1"/>
  <c r="O19" i="9" a="1"/>
  <c r="AC10" i="9" a="1"/>
  <c r="I17" i="9" a="1"/>
  <c r="AC11" i="9" a="1"/>
  <c r="AI18" i="9" a="1"/>
  <c r="AC17" i="9" a="1"/>
  <c r="AI19" i="9" a="1"/>
  <c r="AI13" i="9" a="1"/>
  <c r="AI10" i="9" a="1"/>
  <c r="O10" i="9" a="1"/>
  <c r="AC18" i="9" a="1"/>
  <c r="O20" i="9" a="1"/>
  <c r="AI16" i="9" a="1"/>
  <c r="O16" i="9" a="1"/>
  <c r="U12" i="12" l="1"/>
  <c r="U13" i="12"/>
  <c r="U14" i="12"/>
  <c r="U15" i="12"/>
  <c r="U16" i="12"/>
  <c r="U17" i="12"/>
  <c r="U18" i="12"/>
  <c r="U20" i="12"/>
  <c r="U21" i="12"/>
  <c r="U22" i="12"/>
  <c r="U23" i="12"/>
  <c r="U24" i="12"/>
  <c r="U26" i="12"/>
  <c r="U25" i="12"/>
  <c r="A18" i="12"/>
  <c r="A17" i="12"/>
  <c r="A16" i="12"/>
  <c r="A27" i="12"/>
  <c r="A15" i="12"/>
  <c r="A26" i="12"/>
  <c r="A14" i="12"/>
  <c r="A25" i="12"/>
  <c r="A13" i="12"/>
  <c r="A23" i="12"/>
  <c r="A22" i="12"/>
  <c r="A21" i="12"/>
  <c r="A20" i="12"/>
  <c r="A19" i="12"/>
  <c r="A24" i="12"/>
  <c r="A12" i="12"/>
  <c r="AI21" i="9"/>
  <c r="AI20" i="9"/>
  <c r="AI19" i="9"/>
  <c r="AI18" i="9"/>
  <c r="AI17" i="9"/>
  <c r="AI16" i="9"/>
  <c r="AI15" i="9"/>
  <c r="AI14" i="9"/>
  <c r="AI13" i="9"/>
  <c r="AI12" i="9"/>
  <c r="AI11" i="9"/>
  <c r="AI10" i="9"/>
  <c r="AI9" i="9"/>
  <c r="AI8" i="9"/>
  <c r="O21" i="9"/>
  <c r="O20" i="9"/>
  <c r="O19" i="9"/>
  <c r="O18" i="9"/>
  <c r="O17" i="9"/>
  <c r="O16" i="9"/>
  <c r="O15" i="9"/>
  <c r="O14" i="9"/>
  <c r="O13" i="9"/>
  <c r="O12" i="9"/>
  <c r="O11" i="9"/>
  <c r="O10" i="9"/>
  <c r="O9" i="9"/>
  <c r="AC19" i="9"/>
  <c r="AC18" i="9"/>
  <c r="AC17" i="9"/>
  <c r="AC12" i="9"/>
  <c r="AC11" i="9"/>
  <c r="AC10" i="9"/>
  <c r="I19" i="9"/>
  <c r="I18" i="9"/>
  <c r="I17" i="9"/>
  <c r="I12" i="9"/>
  <c r="I11" i="9"/>
  <c r="I10" i="9"/>
  <c r="O8" i="9"/>
  <c r="AH17" i="3"/>
  <c r="AG17" i="3"/>
  <c r="AJ127" i="3"/>
  <c r="AJ121" i="3"/>
  <c r="AJ115" i="3"/>
  <c r="AJ109" i="3"/>
  <c r="AJ103" i="3"/>
  <c r="AJ97" i="3"/>
  <c r="AJ91" i="3"/>
  <c r="AJ85" i="3"/>
  <c r="AJ79" i="3"/>
  <c r="AJ73" i="3"/>
  <c r="AJ67" i="3"/>
  <c r="AJ61" i="3"/>
  <c r="AJ55" i="3"/>
  <c r="AJ49" i="3"/>
  <c r="AJ43" i="3"/>
  <c r="AJ37" i="3"/>
  <c r="AJ31" i="3"/>
  <c r="D23" i="12" l="1"/>
  <c r="D25" i="12"/>
  <c r="D14" i="12"/>
  <c r="D15" i="12"/>
  <c r="D26" i="12"/>
  <c r="D27" i="12"/>
  <c r="D17" i="12"/>
  <c r="D20" i="12"/>
  <c r="D13" i="12"/>
  <c r="D21" i="12"/>
  <c r="D22" i="12"/>
  <c r="D16" i="12"/>
  <c r="D19" i="12"/>
  <c r="D18" i="12"/>
  <c r="X17" i="12"/>
  <c r="X26" i="12"/>
  <c r="X23" i="12"/>
  <c r="X22" i="12"/>
  <c r="X20" i="12"/>
  <c r="X19" i="12"/>
  <c r="X18" i="12"/>
  <c r="X16" i="12"/>
  <c r="X15" i="12"/>
  <c r="X25" i="12"/>
  <c r="X14" i="12"/>
  <c r="X13" i="12"/>
  <c r="X24" i="12"/>
  <c r="X12" i="12"/>
  <c r="D24" i="12"/>
  <c r="D12" i="12"/>
  <c r="X21" i="12"/>
  <c r="AG4" i="9"/>
  <c r="AG15" i="3"/>
  <c r="AG18" i="3" s="1"/>
  <c r="AK6" i="3"/>
  <c r="AK14" i="3"/>
  <c r="AK15" i="3" l="1"/>
  <c r="AK55" i="3" s="1"/>
  <c r="AK2" i="3"/>
  <c r="AQ6" i="12" s="1"/>
  <c r="AS6" i="12" s="1"/>
  <c r="AK61" i="3" l="1"/>
  <c r="AK109" i="3"/>
  <c r="AK67" i="3"/>
  <c r="AK43" i="3"/>
  <c r="AK73" i="3"/>
  <c r="A73" i="3" s="1"/>
  <c r="AK115" i="3"/>
  <c r="AK79" i="3"/>
  <c r="AK49" i="3"/>
  <c r="AK85" i="3"/>
  <c r="A85" i="3" s="1"/>
  <c r="AK121" i="3"/>
  <c r="AK91" i="3"/>
  <c r="A91" i="3" s="1"/>
  <c r="AK127" i="3"/>
  <c r="A127" i="3" s="1"/>
  <c r="AK25" i="3"/>
  <c r="AK97" i="3"/>
  <c r="AK31" i="3"/>
  <c r="AK103" i="3"/>
  <c r="AK37" i="3"/>
  <c r="AG38" i="3" s="1"/>
  <c r="AK19" i="3"/>
  <c r="M37" i="3"/>
  <c r="P98" i="3"/>
  <c r="AB61" i="3"/>
  <c r="X62" i="3"/>
  <c r="M74" i="3"/>
  <c r="I104" i="3"/>
  <c r="AA62" i="3"/>
  <c r="U67" i="3"/>
  <c r="E44" i="3"/>
  <c r="O62" i="3"/>
  <c r="O50" i="3"/>
  <c r="AA104" i="3"/>
  <c r="P79" i="3"/>
  <c r="P83" i="3" s="1"/>
  <c r="L86" i="3"/>
  <c r="I73" i="3"/>
  <c r="I77" i="3" s="1"/>
  <c r="G80" i="3"/>
  <c r="D86" i="3"/>
  <c r="P31" i="3"/>
  <c r="P35" i="3" s="1"/>
  <c r="AD80" i="3"/>
  <c r="D68" i="3"/>
  <c r="I91" i="3"/>
  <c r="I95" i="3" s="1"/>
  <c r="K91" i="3"/>
  <c r="K95" i="3" s="1"/>
  <c r="N38" i="3"/>
  <c r="L62" i="3"/>
  <c r="K31" i="3"/>
  <c r="K35" i="3" s="1"/>
  <c r="Q98" i="3"/>
  <c r="V31" i="3"/>
  <c r="V35" i="3" s="1"/>
  <c r="F44" i="3"/>
  <c r="H68" i="3"/>
  <c r="O31" i="3"/>
  <c r="O35" i="3" s="1"/>
  <c r="V32" i="3"/>
  <c r="N49" i="3"/>
  <c r="J32" i="3"/>
  <c r="H73" i="3"/>
  <c r="H77" i="3" s="1"/>
  <c r="F61" i="3"/>
  <c r="H86" i="3"/>
  <c r="Z55" i="3"/>
  <c r="H31" i="3"/>
  <c r="H35" i="3" s="1"/>
  <c r="L80" i="3"/>
  <c r="N74" i="3"/>
  <c r="AC92" i="3"/>
  <c r="E37" i="3"/>
  <c r="J128" i="3"/>
  <c r="X122" i="3"/>
  <c r="E55" i="3"/>
  <c r="Q91" i="3"/>
  <c r="Q95" i="3" s="1"/>
  <c r="F104" i="3"/>
  <c r="Z128" i="3"/>
  <c r="V56" i="3"/>
  <c r="I44" i="3"/>
  <c r="I43" i="3"/>
  <c r="I47" i="3" s="1"/>
  <c r="S74" i="3"/>
  <c r="C74" i="3"/>
  <c r="E61" i="3"/>
  <c r="H122" i="3"/>
  <c r="I122" i="3"/>
  <c r="Q97" i="3"/>
  <c r="Q101" i="3" s="1"/>
  <c r="N32" i="3"/>
  <c r="G32" i="3"/>
  <c r="AA37" i="3"/>
  <c r="U31" i="3"/>
  <c r="AC38" i="3"/>
  <c r="X80" i="3"/>
  <c r="Y122" i="3"/>
  <c r="I37" i="3"/>
  <c r="I41" i="3" s="1"/>
  <c r="O127" i="3"/>
  <c r="O131" i="3" s="1"/>
  <c r="AB128" i="3"/>
  <c r="AD74" i="3"/>
  <c r="U68" i="3"/>
  <c r="P32" i="3"/>
  <c r="F109" i="3"/>
  <c r="I68" i="3"/>
  <c r="J68" i="3"/>
  <c r="AB56" i="3"/>
  <c r="G31" i="3"/>
  <c r="S97" i="3"/>
  <c r="M109" i="3"/>
  <c r="L37" i="3"/>
  <c r="AD97" i="3"/>
  <c r="AD101" i="3" s="1"/>
  <c r="Y121" i="3"/>
  <c r="Y125" i="3" s="1"/>
  <c r="U109" i="3"/>
  <c r="U73" i="3"/>
  <c r="H103" i="3"/>
  <c r="H107" i="3" s="1"/>
  <c r="M122" i="3"/>
  <c r="AD37" i="3"/>
  <c r="F73" i="3"/>
  <c r="G109" i="3"/>
  <c r="P73" i="3"/>
  <c r="P77" i="3" s="1"/>
  <c r="U127" i="3"/>
  <c r="U44" i="3"/>
  <c r="R116" i="3"/>
  <c r="O67" i="3"/>
  <c r="O71" i="3" s="1"/>
  <c r="W62" i="3"/>
  <c r="U37" i="3"/>
  <c r="S128" i="3"/>
  <c r="N73" i="3"/>
  <c r="W68" i="3"/>
  <c r="C109" i="3"/>
  <c r="AR28" i="12" s="1"/>
  <c r="AQ28" i="12" s="1"/>
  <c r="P92" i="3"/>
  <c r="L128" i="3"/>
  <c r="R31" i="3"/>
  <c r="R35" i="3" s="1"/>
  <c r="I31" i="3"/>
  <c r="I35" i="3" s="1"/>
  <c r="M32" i="3"/>
  <c r="AC44" i="3"/>
  <c r="T32" i="3"/>
  <c r="Z91" i="3"/>
  <c r="Q115" i="3"/>
  <c r="Q119" i="3" s="1"/>
  <c r="H91" i="3"/>
  <c r="H95" i="3" s="1"/>
  <c r="T43" i="3"/>
  <c r="O49" i="3"/>
  <c r="O53" i="3" s="1"/>
  <c r="G73" i="3"/>
  <c r="U85" i="3"/>
  <c r="N127" i="3"/>
  <c r="M62" i="3"/>
  <c r="R43" i="3"/>
  <c r="R47" i="3" s="1"/>
  <c r="Q61" i="3"/>
  <c r="Q65" i="3" s="1"/>
  <c r="N79" i="3"/>
  <c r="AB116" i="3"/>
  <c r="V110" i="3"/>
  <c r="X32" i="3"/>
  <c r="O73" i="3"/>
  <c r="O77" i="3" s="1"/>
  <c r="D67" i="3"/>
  <c r="D71" i="3" s="1"/>
  <c r="G128" i="3"/>
  <c r="Q104" i="3"/>
  <c r="AD31" i="3"/>
  <c r="AD35" i="3" s="1"/>
  <c r="AC68" i="3"/>
  <c r="I74" i="3"/>
  <c r="D62" i="3"/>
  <c r="C92" i="3"/>
  <c r="X79" i="3"/>
  <c r="X83" i="3" s="1"/>
  <c r="H67" i="3"/>
  <c r="H71" i="3" s="1"/>
  <c r="G44" i="3"/>
  <c r="V68" i="3"/>
  <c r="AB68" i="3"/>
  <c r="N92" i="3"/>
  <c r="Z37" i="3"/>
  <c r="M91" i="3"/>
  <c r="Q62" i="3"/>
  <c r="Z79" i="3"/>
  <c r="AD50" i="3"/>
  <c r="AA61" i="3"/>
  <c r="F97" i="3"/>
  <c r="Y31" i="3"/>
  <c r="Y35" i="3" s="1"/>
  <c r="Q79" i="3"/>
  <c r="Q83" i="3" s="1"/>
  <c r="P38" i="3"/>
  <c r="V128" i="3"/>
  <c r="AD109" i="3"/>
  <c r="Y128" i="3"/>
  <c r="Y91" i="3"/>
  <c r="Y95" i="3" s="1"/>
  <c r="Z32" i="3"/>
  <c r="X43" i="3"/>
  <c r="X47" i="3" s="1"/>
  <c r="Y79" i="3"/>
  <c r="Y83" i="3" s="1"/>
  <c r="D73" i="3"/>
  <c r="D77" i="3" s="1"/>
  <c r="D116" i="3"/>
  <c r="Q32" i="3"/>
  <c r="T85" i="3"/>
  <c r="AB49" i="3"/>
  <c r="G115" i="3"/>
  <c r="K37" i="3"/>
  <c r="K41" i="3" s="1"/>
  <c r="S98" i="3"/>
  <c r="F74" i="3"/>
  <c r="AD103" i="3"/>
  <c r="Y56" i="3"/>
  <c r="K44" i="3"/>
  <c r="W67" i="3"/>
  <c r="W71" i="3" s="1"/>
  <c r="V38" i="3"/>
  <c r="M97" i="3"/>
  <c r="M80" i="3"/>
  <c r="AB31" i="3"/>
  <c r="AA79" i="3"/>
  <c r="Y50" i="3"/>
  <c r="K98" i="3"/>
  <c r="E98" i="3"/>
  <c r="AD68" i="3"/>
  <c r="N67" i="3"/>
  <c r="H116" i="3"/>
  <c r="N104" i="3"/>
  <c r="R62" i="3"/>
  <c r="K49" i="3"/>
  <c r="K53" i="3" s="1"/>
  <c r="AC50" i="3"/>
  <c r="L97" i="3"/>
  <c r="X55" i="3"/>
  <c r="X59" i="3" s="1"/>
  <c r="Q49" i="3"/>
  <c r="Q53" i="3" s="1"/>
  <c r="K103" i="3"/>
  <c r="K107" i="3" s="1"/>
  <c r="S85" i="3"/>
  <c r="AA31" i="3"/>
  <c r="AA32" i="3"/>
  <c r="W85" i="3"/>
  <c r="W89" i="3" s="1"/>
  <c r="O56" i="3"/>
  <c r="AA98" i="3"/>
  <c r="Z109" i="3"/>
  <c r="R73" i="3"/>
  <c r="R77" i="3" s="1"/>
  <c r="AA67" i="3"/>
  <c r="U116" i="3"/>
  <c r="N110" i="3"/>
  <c r="Z104" i="3"/>
  <c r="C68" i="3"/>
  <c r="F43" i="3"/>
  <c r="AC109" i="3"/>
  <c r="AC113" i="3" s="1"/>
  <c r="T73" i="3"/>
  <c r="Y55" i="3"/>
  <c r="Y59" i="3" s="1"/>
  <c r="L44" i="3"/>
  <c r="S43" i="3"/>
  <c r="J103" i="3"/>
  <c r="J107" i="3" s="1"/>
  <c r="U62" i="3"/>
  <c r="E56" i="3"/>
  <c r="AB110" i="3"/>
  <c r="Y32" i="3"/>
  <c r="R37" i="3"/>
  <c r="R41" i="3" s="1"/>
  <c r="P110" i="3"/>
  <c r="W61" i="3"/>
  <c r="W65" i="3" s="1"/>
  <c r="I128" i="3"/>
  <c r="V115" i="3"/>
  <c r="V119" i="3" s="1"/>
  <c r="G74" i="3"/>
  <c r="L68" i="3"/>
  <c r="G121" i="3"/>
  <c r="AA110" i="3"/>
  <c r="Z122" i="3"/>
  <c r="V103" i="3"/>
  <c r="V107" i="3" s="1"/>
  <c r="AC80" i="3"/>
  <c r="AA127" i="3"/>
  <c r="Y67" i="3"/>
  <c r="Y71" i="3" s="1"/>
  <c r="N37" i="3"/>
  <c r="L127" i="3"/>
  <c r="AD98" i="3"/>
  <c r="Z92" i="3"/>
  <c r="Y80" i="3"/>
  <c r="AA92" i="3"/>
  <c r="I98" i="3"/>
  <c r="V49" i="3"/>
  <c r="V53" i="3" s="1"/>
  <c r="G104" i="3"/>
  <c r="K79" i="3"/>
  <c r="K83" i="3" s="1"/>
  <c r="F32" i="3"/>
  <c r="S86" i="3"/>
  <c r="AB109" i="3"/>
  <c r="D85" i="3"/>
  <c r="D89" i="3" s="1"/>
  <c r="Z68" i="3"/>
  <c r="O79" i="3"/>
  <c r="O83" i="3" s="1"/>
  <c r="N109" i="3"/>
  <c r="AD104" i="3"/>
  <c r="AC127" i="3"/>
  <c r="AC131" i="3" s="1"/>
  <c r="Y73" i="3"/>
  <c r="Y77" i="3" s="1"/>
  <c r="Z43" i="3"/>
  <c r="J127" i="3"/>
  <c r="J131" i="3" s="1"/>
  <c r="X97" i="3"/>
  <c r="X101" i="3" s="1"/>
  <c r="AA73" i="3"/>
  <c r="Q92" i="3"/>
  <c r="O104" i="3"/>
  <c r="D128" i="3"/>
  <c r="S55" i="3"/>
  <c r="O98" i="3"/>
  <c r="C38" i="3"/>
  <c r="K127" i="3"/>
  <c r="K131" i="3" s="1"/>
  <c r="U86" i="3"/>
  <c r="AB91" i="3"/>
  <c r="AC91" i="3"/>
  <c r="AC95" i="3" s="1"/>
  <c r="V79" i="3"/>
  <c r="V83" i="3" s="1"/>
  <c r="K86" i="3"/>
  <c r="W128" i="3"/>
  <c r="R97" i="3"/>
  <c r="R101" i="3" s="1"/>
  <c r="Y37" i="3"/>
  <c r="Y41" i="3" s="1"/>
  <c r="O103" i="3"/>
  <c r="O107" i="3" s="1"/>
  <c r="T74" i="3"/>
  <c r="AA85" i="3"/>
  <c r="O109" i="3"/>
  <c r="O113" i="3" s="1"/>
  <c r="F80" i="3"/>
  <c r="AD49" i="3"/>
  <c r="S109" i="3"/>
  <c r="X103" i="3"/>
  <c r="X107" i="3" s="1"/>
  <c r="AB37" i="3"/>
  <c r="AB32" i="3"/>
  <c r="Z80" i="3"/>
  <c r="P50" i="3"/>
  <c r="M104" i="3"/>
  <c r="Q128" i="3"/>
  <c r="AA103" i="3"/>
  <c r="C103" i="3"/>
  <c r="AD91" i="3"/>
  <c r="H109" i="3"/>
  <c r="H113" i="3" s="1"/>
  <c r="N103" i="3"/>
  <c r="P56" i="3"/>
  <c r="T110" i="3"/>
  <c r="AB79" i="3"/>
  <c r="W32" i="3"/>
  <c r="X104" i="3"/>
  <c r="T56" i="3"/>
  <c r="O128" i="3"/>
  <c r="R104" i="3"/>
  <c r="V73" i="3"/>
  <c r="V77" i="3" s="1"/>
  <c r="H97" i="3"/>
  <c r="H101" i="3" s="1"/>
  <c r="V74" i="3"/>
  <c r="K68" i="3"/>
  <c r="E104" i="3"/>
  <c r="R49" i="3"/>
  <c r="R53" i="3" s="1"/>
  <c r="J109" i="3"/>
  <c r="J113" i="3" s="1"/>
  <c r="AK3" i="3"/>
  <c r="N128" i="3"/>
  <c r="V97" i="3"/>
  <c r="V101" i="3" s="1"/>
  <c r="J115" i="3"/>
  <c r="J119" i="3" s="1"/>
  <c r="I32" i="3"/>
  <c r="P109" i="3"/>
  <c r="P113" i="3" s="1"/>
  <c r="J73" i="3"/>
  <c r="J77" i="3" s="1"/>
  <c r="AE58" i="3"/>
  <c r="J116" i="3"/>
  <c r="U50" i="3"/>
  <c r="O32" i="3"/>
  <c r="Y97" i="3"/>
  <c r="Y101" i="3" s="1"/>
  <c r="I38" i="3"/>
  <c r="Z103" i="3"/>
  <c r="E109" i="3"/>
  <c r="AA49" i="3"/>
  <c r="L56" i="3"/>
  <c r="O121" i="3"/>
  <c r="O125" i="3" s="1"/>
  <c r="X74" i="3"/>
  <c r="AA38" i="3"/>
  <c r="H115" i="3"/>
  <c r="H119" i="3" s="1"/>
  <c r="Y98" i="3"/>
  <c r="H49" i="3"/>
  <c r="H53" i="3" s="1"/>
  <c r="D61" i="3"/>
  <c r="D65" i="3" s="1"/>
  <c r="G79" i="3"/>
  <c r="M110" i="3"/>
  <c r="Q85" i="3"/>
  <c r="Q89" i="3" s="1"/>
  <c r="R128" i="3"/>
  <c r="T55" i="3"/>
  <c r="J86" i="3"/>
  <c r="K110" i="3"/>
  <c r="AC49" i="3"/>
  <c r="AC53" i="3" s="1"/>
  <c r="I80" i="3"/>
  <c r="O97" i="3"/>
  <c r="O101" i="3" s="1"/>
  <c r="E92" i="3"/>
  <c r="M61" i="3"/>
  <c r="P44" i="3"/>
  <c r="H38" i="3"/>
  <c r="W98" i="3"/>
  <c r="G43" i="3"/>
  <c r="D115" i="3"/>
  <c r="D119" i="3" s="1"/>
  <c r="G116" i="3"/>
  <c r="Q55" i="3"/>
  <c r="Q59" i="3" s="1"/>
  <c r="O115" i="3"/>
  <c r="O119" i="3" s="1"/>
  <c r="H62" i="3"/>
  <c r="U122" i="3"/>
  <c r="X98" i="3"/>
  <c r="Z38" i="3"/>
  <c r="I85" i="3"/>
  <c r="I89" i="3" s="1"/>
  <c r="W121" i="3"/>
  <c r="W125" i="3" s="1"/>
  <c r="O43" i="3"/>
  <c r="O47" i="3" s="1"/>
  <c r="Y74" i="3"/>
  <c r="AB115" i="3"/>
  <c r="Q44" i="3"/>
  <c r="M103" i="3"/>
  <c r="C44" i="3"/>
  <c r="T97" i="3"/>
  <c r="AB62" i="3"/>
  <c r="W50" i="3"/>
  <c r="T79" i="3"/>
  <c r="Z110" i="3"/>
  <c r="D103" i="3"/>
  <c r="D107" i="3" s="1"/>
  <c r="J31" i="3"/>
  <c r="J35" i="3" s="1"/>
  <c r="Z49" i="3"/>
  <c r="C86" i="3"/>
  <c r="C128" i="3"/>
  <c r="Z50" i="3"/>
  <c r="R92" i="3"/>
  <c r="C20" i="3"/>
  <c r="AC67" i="3"/>
  <c r="AC71" i="3" s="1"/>
  <c r="C98" i="3"/>
  <c r="O61" i="3"/>
  <c r="O65" i="3" s="1"/>
  <c r="C116" i="3"/>
  <c r="L67" i="3"/>
  <c r="E86" i="3"/>
  <c r="AB74" i="3"/>
  <c r="U103" i="3"/>
  <c r="W103" i="3"/>
  <c r="W107" i="3" s="1"/>
  <c r="W79" i="3"/>
  <c r="W83" i="3" s="1"/>
  <c r="K74" i="3"/>
  <c r="M56" i="3"/>
  <c r="U43" i="3"/>
  <c r="Y103" i="3"/>
  <c r="Y107" i="3" s="1"/>
  <c r="Y44" i="3"/>
  <c r="F116" i="3"/>
  <c r="R50" i="3"/>
  <c r="M121" i="3"/>
  <c r="K61" i="3"/>
  <c r="K65" i="3" s="1"/>
  <c r="T128" i="3"/>
  <c r="K67" i="3"/>
  <c r="K71" i="3" s="1"/>
  <c r="X127" i="3"/>
  <c r="X131" i="3" s="1"/>
  <c r="L103" i="3"/>
  <c r="R44" i="3"/>
  <c r="Y85" i="3"/>
  <c r="Y89" i="3" s="1"/>
  <c r="AB122" i="3"/>
  <c r="D44" i="3"/>
  <c r="M79" i="3"/>
  <c r="X121" i="3"/>
  <c r="X125" i="3" s="1"/>
  <c r="T49" i="3"/>
  <c r="AC103" i="3"/>
  <c r="AC107" i="3" s="1"/>
  <c r="G61" i="3"/>
  <c r="Q56" i="3"/>
  <c r="L98" i="3"/>
  <c r="Z67" i="3"/>
  <c r="H55" i="3"/>
  <c r="H59" i="3" s="1"/>
  <c r="AC85" i="3"/>
  <c r="AC89" i="3" s="1"/>
  <c r="K115" i="3"/>
  <c r="K119" i="3" s="1"/>
  <c r="C104" i="3"/>
  <c r="U32" i="3"/>
  <c r="K50" i="3"/>
  <c r="P86" i="3"/>
  <c r="P128" i="3"/>
  <c r="V55" i="3"/>
  <c r="V59" i="3" s="1"/>
  <c r="AD92" i="3"/>
  <c r="AH70" i="3"/>
  <c r="C37" i="3"/>
  <c r="Z44" i="3"/>
  <c r="I110" i="3"/>
  <c r="P97" i="3"/>
  <c r="P101" i="3" s="1"/>
  <c r="S32" i="3"/>
  <c r="AA115" i="3"/>
  <c r="E74" i="3"/>
  <c r="J38" i="3"/>
  <c r="H37" i="3"/>
  <c r="H41" i="3" s="1"/>
  <c r="D97" i="3"/>
  <c r="D101" i="3" s="1"/>
  <c r="P43" i="3"/>
  <c r="P47" i="3" s="1"/>
  <c r="AB85" i="3"/>
  <c r="S38" i="3"/>
  <c r="V121" i="3"/>
  <c r="V125" i="3" s="1"/>
  <c r="N50" i="3"/>
  <c r="AD85" i="3"/>
  <c r="C56" i="3"/>
  <c r="E73" i="3"/>
  <c r="Y62" i="3"/>
  <c r="X49" i="3"/>
  <c r="X53" i="3" s="1"/>
  <c r="AD55" i="3"/>
  <c r="AA80" i="3"/>
  <c r="G127" i="3"/>
  <c r="L32" i="3"/>
  <c r="AC73" i="3"/>
  <c r="AC77" i="3" s="1"/>
  <c r="G97" i="3"/>
  <c r="Y104" i="3"/>
  <c r="K80" i="3"/>
  <c r="R109" i="3"/>
  <c r="R113" i="3" s="1"/>
  <c r="T109" i="3"/>
  <c r="T115" i="3"/>
  <c r="M85" i="3"/>
  <c r="C73" i="3"/>
  <c r="AR22" i="12" s="1"/>
  <c r="AQ22" i="12" s="1"/>
  <c r="X56" i="3"/>
  <c r="AB104" i="3"/>
  <c r="AC56" i="3"/>
  <c r="L121" i="3"/>
  <c r="J56" i="3"/>
  <c r="P122" i="3"/>
  <c r="G62" i="3"/>
  <c r="Q68" i="3"/>
  <c r="Q67" i="3"/>
  <c r="Q71" i="3" s="1"/>
  <c r="AB103" i="3"/>
  <c r="R32" i="3"/>
  <c r="U49" i="3"/>
  <c r="Q86" i="3"/>
  <c r="S127" i="3"/>
  <c r="S44" i="3"/>
  <c r="J85" i="3"/>
  <c r="J89" i="3" s="1"/>
  <c r="AC122" i="3"/>
  <c r="S67" i="3"/>
  <c r="U104" i="3"/>
  <c r="I61" i="3"/>
  <c r="I65" i="3" s="1"/>
  <c r="P103" i="3"/>
  <c r="P107" i="3" s="1"/>
  <c r="X68" i="3"/>
  <c r="U55" i="3"/>
  <c r="O86" i="3"/>
  <c r="I116" i="3"/>
  <c r="P104" i="3"/>
  <c r="F37" i="3"/>
  <c r="X50" i="3"/>
  <c r="AC86" i="3"/>
  <c r="AC128" i="3"/>
  <c r="F56" i="3"/>
  <c r="N97" i="3"/>
  <c r="C49" i="3"/>
  <c r="AR18" i="12" s="1"/>
  <c r="AQ18" i="12" s="1"/>
  <c r="I86" i="3"/>
  <c r="X38" i="3"/>
  <c r="AD86" i="3"/>
  <c r="AC37" i="3"/>
  <c r="AC41" i="3" s="1"/>
  <c r="AB127" i="3"/>
  <c r="T116" i="3"/>
  <c r="F86" i="3"/>
  <c r="AC110" i="3"/>
  <c r="J121" i="3"/>
  <c r="J125" i="3" s="1"/>
  <c r="Z121" i="3"/>
  <c r="S92" i="3"/>
  <c r="Q74" i="3"/>
  <c r="AC61" i="3"/>
  <c r="AC65" i="3" s="1"/>
  <c r="C115" i="3"/>
  <c r="AR29" i="12" s="1"/>
  <c r="AQ29" i="12" s="1"/>
  <c r="E62" i="3"/>
  <c r="O122" i="3"/>
  <c r="F62" i="3"/>
  <c r="M127" i="3"/>
  <c r="P68" i="3"/>
  <c r="S73" i="3"/>
  <c r="F68" i="3"/>
  <c r="T104" i="3"/>
  <c r="N56" i="3"/>
  <c r="H50" i="3"/>
  <c r="E91" i="3"/>
  <c r="X128" i="3"/>
  <c r="G49" i="3"/>
  <c r="F91" i="3"/>
  <c r="T127" i="3"/>
  <c r="G68" i="3"/>
  <c r="I109" i="3"/>
  <c r="I113" i="3" s="1"/>
  <c r="Y61" i="3"/>
  <c r="Y65" i="3" s="1"/>
  <c r="H104" i="3"/>
  <c r="AA86" i="3"/>
  <c r="G56" i="3"/>
  <c r="AB86" i="3"/>
  <c r="AD127" i="3"/>
  <c r="AU31" i="12" s="1"/>
  <c r="AC104" i="3"/>
  <c r="S37" i="3"/>
  <c r="I55" i="3"/>
  <c r="I59" i="3" s="1"/>
  <c r="N91" i="3"/>
  <c r="R56" i="3"/>
  <c r="Z97" i="3"/>
  <c r="AE64" i="3"/>
  <c r="F128" i="3"/>
  <c r="V109" i="3"/>
  <c r="V113" i="3" s="1"/>
  <c r="F92" i="3"/>
  <c r="R74" i="3"/>
  <c r="AD56" i="3"/>
  <c r="N43" i="3"/>
  <c r="K116" i="3"/>
  <c r="W97" i="3"/>
  <c r="W101" i="3" s="1"/>
  <c r="U79" i="3"/>
  <c r="S61" i="3"/>
  <c r="Q43" i="3"/>
  <c r="Q47" i="3" s="1"/>
  <c r="W31" i="3"/>
  <c r="W35" i="3" s="1"/>
  <c r="E122" i="3"/>
  <c r="Q103" i="3"/>
  <c r="Q107" i="3" s="1"/>
  <c r="M67" i="3"/>
  <c r="W116" i="3"/>
  <c r="T98" i="3"/>
  <c r="E80" i="3"/>
  <c r="C62" i="3"/>
  <c r="Q38" i="3"/>
  <c r="O85" i="3"/>
  <c r="O89" i="3" s="1"/>
  <c r="AD122" i="3"/>
  <c r="AB98" i="3"/>
  <c r="Z74" i="3"/>
  <c r="AB50" i="3"/>
  <c r="S31" i="3"/>
  <c r="D32" i="3"/>
  <c r="F115" i="3"/>
  <c r="X85" i="3"/>
  <c r="X89" i="3" s="1"/>
  <c r="V50" i="3"/>
  <c r="E128" i="3"/>
  <c r="C110" i="3"/>
  <c r="Z85" i="3"/>
  <c r="X61" i="3"/>
  <c r="X65" i="3" s="1"/>
  <c r="L38" i="3"/>
  <c r="V104" i="3"/>
  <c r="T80" i="3"/>
  <c r="AB55" i="3"/>
  <c r="Y38" i="3"/>
  <c r="U115" i="3"/>
  <c r="S91" i="3"/>
  <c r="Z62" i="3"/>
  <c r="E97" i="3"/>
  <c r="R55" i="3"/>
  <c r="R59" i="3" s="1"/>
  <c r="AC97" i="3"/>
  <c r="AC101" i="3" s="1"/>
  <c r="K56" i="3"/>
  <c r="V92" i="3"/>
  <c r="P55" i="3"/>
  <c r="P59" i="3" s="1"/>
  <c r="U92" i="3"/>
  <c r="K55" i="3"/>
  <c r="K59" i="3" s="1"/>
  <c r="T92" i="3"/>
  <c r="X67" i="3"/>
  <c r="X71" i="3" s="1"/>
  <c r="D122" i="3"/>
  <c r="N31" i="3"/>
  <c r="X109" i="3"/>
  <c r="X113" i="3" s="1"/>
  <c r="Y86" i="3"/>
  <c r="Y43" i="3"/>
  <c r="Y47" i="3" s="1"/>
  <c r="J49" i="3"/>
  <c r="J53" i="3" s="1"/>
  <c r="AA116" i="3"/>
  <c r="V122" i="3"/>
  <c r="W56" i="3"/>
  <c r="W110" i="3"/>
  <c r="C50" i="3"/>
  <c r="D55" i="3"/>
  <c r="D59" i="3" s="1"/>
  <c r="T61" i="3"/>
  <c r="P61" i="3"/>
  <c r="P65" i="3" s="1"/>
  <c r="S68" i="3"/>
  <c r="AB73" i="3"/>
  <c r="M98" i="3"/>
  <c r="F127" i="3"/>
  <c r="W43" i="3"/>
  <c r="W47" i="3" s="1"/>
  <c r="V43" i="3"/>
  <c r="V47" i="3" s="1"/>
  <c r="AG46" i="3"/>
  <c r="V127" i="3"/>
  <c r="V131" i="3" s="1"/>
  <c r="R121" i="3"/>
  <c r="R125" i="3" s="1"/>
  <c r="R103" i="3"/>
  <c r="R107" i="3" s="1"/>
  <c r="F85" i="3"/>
  <c r="F67" i="3"/>
  <c r="F49" i="3"/>
  <c r="F31" i="3"/>
  <c r="I121" i="3"/>
  <c r="I125" i="3" s="1"/>
  <c r="U98" i="3"/>
  <c r="H79" i="3"/>
  <c r="H83" i="3" s="1"/>
  <c r="U56" i="3"/>
  <c r="E38" i="3"/>
  <c r="Y110" i="3"/>
  <c r="D80" i="3"/>
  <c r="S122" i="3"/>
  <c r="D104" i="3"/>
  <c r="P85" i="3"/>
  <c r="P89" i="3" s="1"/>
  <c r="P62" i="3"/>
  <c r="H32" i="3"/>
  <c r="S79" i="3"/>
  <c r="E121" i="3"/>
  <c r="O92" i="3"/>
  <c r="E67" i="3"/>
  <c r="AB38" i="3"/>
  <c r="S121" i="3"/>
  <c r="AB92" i="3"/>
  <c r="K62" i="3"/>
  <c r="L109" i="3"/>
  <c r="U80" i="3"/>
  <c r="AC55" i="3"/>
  <c r="AC59" i="3" s="1"/>
  <c r="E32" i="3"/>
  <c r="C121" i="3"/>
  <c r="AR30" i="12" s="1"/>
  <c r="AQ30" i="12" s="1"/>
  <c r="M92" i="3"/>
  <c r="T67" i="3"/>
  <c r="K38" i="3"/>
  <c r="L55" i="3"/>
  <c r="AC116" i="3"/>
  <c r="H92" i="3"/>
  <c r="I62" i="3"/>
  <c r="X86" i="3"/>
  <c r="AD44" i="3"/>
  <c r="Q122" i="3"/>
  <c r="R79" i="3"/>
  <c r="R83" i="3" s="1"/>
  <c r="O38" i="3"/>
  <c r="M115" i="3"/>
  <c r="O68" i="3"/>
  <c r="Z31" i="3"/>
  <c r="AC98" i="3"/>
  <c r="I56" i="3"/>
  <c r="W122" i="3"/>
  <c r="G55" i="3"/>
  <c r="S104" i="3"/>
  <c r="N85" i="3"/>
  <c r="D56" i="3"/>
  <c r="Z73" i="3"/>
  <c r="K128" i="3"/>
  <c r="F55" i="3"/>
  <c r="I103" i="3"/>
  <c r="I107" i="3" s="1"/>
  <c r="T31" i="3"/>
  <c r="Y127" i="3"/>
  <c r="Y131" i="3" s="1"/>
  <c r="H127" i="3"/>
  <c r="H131" i="3" s="1"/>
  <c r="W38" i="3"/>
  <c r="M50" i="3"/>
  <c r="D37" i="3"/>
  <c r="D41" i="3" s="1"/>
  <c r="F121" i="3"/>
  <c r="F103" i="3"/>
  <c r="V80" i="3"/>
  <c r="V62" i="3"/>
  <c r="V44" i="3"/>
  <c r="X116" i="3"/>
  <c r="J97" i="3"/>
  <c r="J101" i="3" s="1"/>
  <c r="W74" i="3"/>
  <c r="H56" i="3"/>
  <c r="T37" i="3"/>
  <c r="L110" i="3"/>
  <c r="F79" i="3"/>
  <c r="F122" i="3"/>
  <c r="S103" i="3"/>
  <c r="C85" i="3"/>
  <c r="AR24" i="12" s="1"/>
  <c r="AQ24" i="12" s="1"/>
  <c r="R61" i="3"/>
  <c r="R65" i="3" s="1"/>
  <c r="U74" i="3"/>
  <c r="Q116" i="3"/>
  <c r="X91" i="3"/>
  <c r="X95" i="3" s="1"/>
  <c r="N62" i="3"/>
  <c r="M38" i="3"/>
  <c r="H128" i="3"/>
  <c r="AD116" i="3"/>
  <c r="I92" i="3"/>
  <c r="AA55" i="3"/>
  <c r="G85" i="3"/>
  <c r="W104" i="3"/>
  <c r="AD79" i="3"/>
  <c r="N55" i="3"/>
  <c r="O116" i="3"/>
  <c r="U91" i="3"/>
  <c r="C67" i="3"/>
  <c r="AR21" i="12" s="1"/>
  <c r="AQ21" i="12" s="1"/>
  <c r="X37" i="3"/>
  <c r="X41" i="3" s="1"/>
  <c r="G50" i="3"/>
  <c r="M116" i="3"/>
  <c r="C91" i="3"/>
  <c r="AR25" i="12" s="1"/>
  <c r="AQ25" i="12" s="1"/>
  <c r="U128" i="3"/>
  <c r="V85" i="3"/>
  <c r="V89" i="3" s="1"/>
  <c r="H44" i="3"/>
  <c r="N121" i="3"/>
  <c r="O74" i="3"/>
  <c r="Q37" i="3"/>
  <c r="Q41" i="3" s="1"/>
  <c r="H110" i="3"/>
  <c r="I67" i="3"/>
  <c r="I71" i="3" s="1"/>
  <c r="AA97" i="3"/>
  <c r="Q50" i="3"/>
  <c r="M128" i="3"/>
  <c r="Z116" i="3"/>
  <c r="X44" i="3"/>
  <c r="R98" i="3"/>
  <c r="L74" i="3"/>
  <c r="P49" i="3"/>
  <c r="P53" i="3" s="1"/>
  <c r="P121" i="3"/>
  <c r="P125" i="3" s="1"/>
  <c r="T62" i="3"/>
  <c r="Y116" i="3"/>
  <c r="D50" i="3"/>
  <c r="K97" i="3"/>
  <c r="K101" i="3" s="1"/>
  <c r="Z127" i="3"/>
  <c r="AD115" i="3"/>
  <c r="AU29" i="12" s="1"/>
  <c r="I127" i="3"/>
  <c r="I131" i="3" s="1"/>
  <c r="S115" i="3"/>
  <c r="K32" i="3"/>
  <c r="U38" i="3"/>
  <c r="AC31" i="3"/>
  <c r="AC35" i="3" s="1"/>
  <c r="V116" i="3"/>
  <c r="J98" i="3"/>
  <c r="J80" i="3"/>
  <c r="J62" i="3"/>
  <c r="J44" i="3"/>
  <c r="L115" i="3"/>
  <c r="Y92" i="3"/>
  <c r="J74" i="3"/>
  <c r="W55" i="3"/>
  <c r="W59" i="3" s="1"/>
  <c r="G37" i="3"/>
  <c r="Y49" i="3"/>
  <c r="Y53" i="3" s="1"/>
  <c r="AA128" i="3"/>
  <c r="AA109" i="3"/>
  <c r="H74" i="3"/>
  <c r="U121" i="3"/>
  <c r="E103" i="3"/>
  <c r="N115" i="3"/>
  <c r="V91" i="3"/>
  <c r="V95" i="3" s="1"/>
  <c r="AD67" i="3"/>
  <c r="AD38" i="3"/>
  <c r="R127" i="3"/>
  <c r="R131" i="3" s="1"/>
  <c r="T103" i="3"/>
  <c r="L73" i="3"/>
  <c r="AB44" i="3"/>
  <c r="P127" i="3"/>
  <c r="P131" i="3" s="1"/>
  <c r="F98" i="3"/>
  <c r="Q127" i="3"/>
  <c r="Q131" i="3" s="1"/>
  <c r="I97" i="3"/>
  <c r="I101" i="3" s="1"/>
  <c r="X73" i="3"/>
  <c r="X77" i="3" s="1"/>
  <c r="J50" i="3"/>
  <c r="M86" i="3"/>
  <c r="AC115" i="3"/>
  <c r="AC119" i="3" s="1"/>
  <c r="K85" i="3"/>
  <c r="K89" i="3" s="1"/>
  <c r="O55" i="3"/>
  <c r="O59" i="3" s="1"/>
  <c r="AA122" i="3"/>
  <c r="T91" i="3"/>
  <c r="L43" i="3"/>
  <c r="L122" i="3"/>
  <c r="W91" i="3"/>
  <c r="W95" i="3" s="1"/>
  <c r="H61" i="3"/>
  <c r="H65" i="3" s="1"/>
  <c r="S110" i="3"/>
  <c r="AC79" i="3"/>
  <c r="AC83" i="3" s="1"/>
  <c r="E49" i="3"/>
  <c r="V61" i="3"/>
  <c r="V65" i="3" s="1"/>
  <c r="E115" i="3"/>
  <c r="O80" i="3"/>
  <c r="J110" i="3"/>
  <c r="L61" i="3"/>
  <c r="C19" i="3"/>
  <c r="M73" i="3"/>
  <c r="E31" i="3"/>
  <c r="V86" i="3"/>
  <c r="H43" i="3"/>
  <c r="H47" i="3" s="1"/>
  <c r="G110" i="3"/>
  <c r="S49" i="3"/>
  <c r="K121" i="3"/>
  <c r="K125" i="3" s="1"/>
  <c r="G86" i="3"/>
  <c r="O110" i="3"/>
  <c r="E43" i="3"/>
  <c r="N98" i="3"/>
  <c r="D92" i="3"/>
  <c r="T38" i="3"/>
  <c r="W44" i="3"/>
  <c r="AA74" i="3"/>
  <c r="H80" i="3"/>
  <c r="M44" i="3"/>
  <c r="L31" i="3"/>
  <c r="K104" i="3"/>
  <c r="G92" i="3"/>
  <c r="E79" i="3"/>
  <c r="D79" i="3"/>
  <c r="D83" i="3" s="1"/>
  <c r="F50" i="3"/>
  <c r="AG52" i="3"/>
  <c r="AD110" i="3"/>
  <c r="J91" i="3"/>
  <c r="J95" i="3" s="1"/>
  <c r="R67" i="3"/>
  <c r="R71" i="3" s="1"/>
  <c r="R38" i="3"/>
  <c r="E127" i="3"/>
  <c r="G103" i="3"/>
  <c r="AA68" i="3"/>
  <c r="O44" i="3"/>
  <c r="C127" i="3"/>
  <c r="AR31" i="12" s="1"/>
  <c r="AQ31" i="12" s="1"/>
  <c r="U97" i="3"/>
  <c r="D127" i="3"/>
  <c r="D131" i="3" s="1"/>
  <c r="X92" i="3"/>
  <c r="K73" i="3"/>
  <c r="K77" i="3" s="1"/>
  <c r="L49" i="3"/>
  <c r="Q80" i="3"/>
  <c r="I115" i="3"/>
  <c r="I119" i="3" s="1"/>
  <c r="W80" i="3"/>
  <c r="L50" i="3"/>
  <c r="J122" i="3"/>
  <c r="H85" i="3"/>
  <c r="H89" i="3" s="1"/>
  <c r="R110" i="3"/>
  <c r="Z86" i="3"/>
  <c r="Z61" i="3"/>
  <c r="V37" i="3"/>
  <c r="V41" i="3" s="1"/>
  <c r="T122" i="3"/>
  <c r="L92" i="3"/>
  <c r="M68" i="3"/>
  <c r="AD43" i="3"/>
  <c r="C43" i="3"/>
  <c r="AR17" i="12" s="1"/>
  <c r="AQ17" i="12" s="1"/>
  <c r="R122" i="3"/>
  <c r="L91" i="3"/>
  <c r="H121" i="3"/>
  <c r="H125" i="3" s="1"/>
  <c r="K92" i="3"/>
  <c r="Y68" i="3"/>
  <c r="N44" i="3"/>
  <c r="W73" i="3"/>
  <c r="W77" i="3" s="1"/>
  <c r="D110" i="3"/>
  <c r="C80" i="3"/>
  <c r="W49" i="3"/>
  <c r="W53" i="3" s="1"/>
  <c r="N116" i="3"/>
  <c r="P80" i="3"/>
  <c r="W37" i="3"/>
  <c r="W41" i="3" s="1"/>
  <c r="D121" i="3"/>
  <c r="D125" i="3" s="1"/>
  <c r="R86" i="3"/>
  <c r="AA50" i="3"/>
  <c r="K109" i="3"/>
  <c r="K113" i="3" s="1"/>
  <c r="D74" i="3"/>
  <c r="M43" i="3"/>
  <c r="AB43" i="3"/>
  <c r="Y109" i="3"/>
  <c r="Y113" i="3" s="1"/>
  <c r="J79" i="3"/>
  <c r="J83" i="3" s="1"/>
  <c r="J104" i="3"/>
  <c r="T50" i="3"/>
  <c r="L116" i="3"/>
  <c r="J67" i="3"/>
  <c r="J71" i="3" s="1"/>
  <c r="N80" i="3"/>
  <c r="P37" i="3"/>
  <c r="P41" i="3" s="1"/>
  <c r="R91" i="3"/>
  <c r="R95" i="3" s="1"/>
  <c r="AA43" i="3"/>
  <c r="E110" i="3"/>
  <c r="AC74" i="3"/>
  <c r="C122" i="3"/>
  <c r="G67" i="3"/>
  <c r="R68" i="3"/>
  <c r="R115" i="3"/>
  <c r="R119" i="3" s="1"/>
  <c r="I49" i="3"/>
  <c r="I53" i="3" s="1"/>
  <c r="X110" i="3"/>
  <c r="AD32" i="3"/>
  <c r="P67" i="3"/>
  <c r="P71" i="3" s="1"/>
  <c r="U61" i="3"/>
  <c r="M31" i="3"/>
  <c r="L104" i="3"/>
  <c r="E85" i="3"/>
  <c r="I79" i="3"/>
  <c r="I83" i="3" s="1"/>
  <c r="AA56" i="3"/>
  <c r="S62" i="3"/>
  <c r="A97" i="3"/>
  <c r="F110" i="3"/>
  <c r="N86" i="3"/>
  <c r="N61" i="3"/>
  <c r="J37" i="3"/>
  <c r="J41" i="3" s="1"/>
  <c r="G122" i="3"/>
  <c r="AA91" i="3"/>
  <c r="AB67" i="3"/>
  <c r="D43" i="3"/>
  <c r="D47" i="3" s="1"/>
  <c r="D38" i="3"/>
  <c r="T121" i="3"/>
  <c r="AD121" i="3"/>
  <c r="AU30" i="12" s="1"/>
  <c r="N122" i="3"/>
  <c r="AK13" i="3"/>
  <c r="AD128" i="3"/>
  <c r="Z115" i="3"/>
  <c r="V98" i="3"/>
  <c r="R85" i="3"/>
  <c r="R89" i="3" s="1"/>
  <c r="N68" i="3"/>
  <c r="J55" i="3"/>
  <c r="J59" i="3" s="1"/>
  <c r="F38" i="3"/>
  <c r="Y115" i="3"/>
  <c r="Y119" i="3" s="1"/>
  <c r="H98" i="3"/>
  <c r="S80" i="3"/>
  <c r="AD62" i="3"/>
  <c r="M49" i="3"/>
  <c r="X31" i="3"/>
  <c r="X35" i="3" s="1"/>
  <c r="AC43" i="3"/>
  <c r="AC47" i="3" s="1"/>
  <c r="W115" i="3"/>
  <c r="W119" i="3" s="1"/>
  <c r="W92" i="3"/>
  <c r="S56" i="3"/>
  <c r="X115" i="3"/>
  <c r="X119" i="3" s="1"/>
  <c r="G98" i="3"/>
  <c r="R80" i="3"/>
  <c r="AC62" i="3"/>
  <c r="AA44" i="3"/>
  <c r="J92" i="3"/>
  <c r="AD61" i="3"/>
  <c r="U110" i="3"/>
  <c r="G91" i="3"/>
  <c r="V67" i="3"/>
  <c r="V71" i="3" s="1"/>
  <c r="T44" i="3"/>
  <c r="Q110" i="3"/>
  <c r="D91" i="3"/>
  <c r="D95" i="3" s="1"/>
  <c r="C61" i="3"/>
  <c r="AR20" i="12" s="1"/>
  <c r="AQ20" i="12" s="1"/>
  <c r="P116" i="3"/>
  <c r="C97" i="3"/>
  <c r="AR26" i="12" s="1"/>
  <c r="AQ26" i="12" s="1"/>
  <c r="Q73" i="3"/>
  <c r="Q77" i="3" s="1"/>
  <c r="I50" i="3"/>
  <c r="Q31" i="3"/>
  <c r="Q35" i="3" s="1"/>
  <c r="K122" i="3"/>
  <c r="Z98" i="3"/>
  <c r="L79" i="3"/>
  <c r="M55" i="3"/>
  <c r="D49" i="3"/>
  <c r="D53" i="3" s="1"/>
  <c r="Q121" i="3"/>
  <c r="Q125" i="3" s="1"/>
  <c r="D98" i="3"/>
  <c r="AD73" i="3"/>
  <c r="P115" i="3"/>
  <c r="P119" i="3" s="1"/>
  <c r="P74" i="3"/>
  <c r="J43" i="3"/>
  <c r="J47" i="3" s="1"/>
  <c r="W127" i="3"/>
  <c r="W131" i="3" s="1"/>
  <c r="W86" i="3"/>
  <c r="S50" i="3"/>
  <c r="AB97" i="3"/>
  <c r="J61" i="3"/>
  <c r="J65" i="3" s="1"/>
  <c r="D31" i="3"/>
  <c r="D35" i="3" s="1"/>
  <c r="D109" i="3"/>
  <c r="D113" i="3" s="1"/>
  <c r="E68" i="3"/>
  <c r="O37" i="3"/>
  <c r="O41" i="3" s="1"/>
  <c r="E116" i="3"/>
  <c r="Q109" i="3"/>
  <c r="Q113" i="3" s="1"/>
  <c r="E50" i="3"/>
  <c r="S116" i="3"/>
  <c r="AC121" i="3"/>
  <c r="AC125" i="3" s="1"/>
  <c r="AB121" i="3"/>
  <c r="AA121" i="3"/>
  <c r="W109" i="3"/>
  <c r="W113" i="3" s="1"/>
  <c r="T86" i="3"/>
  <c r="AB80" i="3"/>
  <c r="Z56" i="3"/>
  <c r="C79" i="3"/>
  <c r="AR23" i="12" s="1"/>
  <c r="AQ23" i="12" s="1"/>
  <c r="P91" i="3"/>
  <c r="P95" i="3" s="1"/>
  <c r="G38" i="3"/>
  <c r="O91" i="3"/>
  <c r="O95" i="3" s="1"/>
  <c r="AC32" i="3"/>
  <c r="K43" i="3"/>
  <c r="K47" i="3" s="1"/>
  <c r="C55" i="3"/>
  <c r="AR19" i="12" s="1"/>
  <c r="AQ19" i="12" s="1"/>
  <c r="T68" i="3"/>
  <c r="L85" i="3"/>
  <c r="AR13" i="12" l="1"/>
  <c r="AQ13" i="12" s="1"/>
  <c r="C23" i="3"/>
  <c r="AR16" i="12"/>
  <c r="AQ16" i="12" s="1"/>
  <c r="C41" i="3"/>
  <c r="AU16" i="12"/>
  <c r="AD41" i="3"/>
  <c r="AU26" i="12"/>
  <c r="C113" i="3"/>
  <c r="AF82" i="3"/>
  <c r="A79" i="3"/>
  <c r="AD71" i="3"/>
  <c r="AU21" i="12"/>
  <c r="AD89" i="3"/>
  <c r="AU24" i="12"/>
  <c r="C131" i="3"/>
  <c r="AE121" i="3"/>
  <c r="A121" i="3"/>
  <c r="AD131" i="3"/>
  <c r="AD119" i="3"/>
  <c r="AD77" i="3"/>
  <c r="AU22" i="12"/>
  <c r="AD65" i="3"/>
  <c r="AU20" i="12"/>
  <c r="AD83" i="3"/>
  <c r="AU23" i="12"/>
  <c r="AD47" i="3"/>
  <c r="AU17" i="12"/>
  <c r="AG118" i="3"/>
  <c r="A115" i="3"/>
  <c r="AD95" i="3"/>
  <c r="AU25" i="12"/>
  <c r="AU15" i="12"/>
  <c r="AD125" i="3"/>
  <c r="AD107" i="3"/>
  <c r="AU27" i="12"/>
  <c r="AE112" i="3"/>
  <c r="A109" i="3"/>
  <c r="AK4" i="3"/>
  <c r="AQ5" i="12"/>
  <c r="C107" i="3"/>
  <c r="AR27" i="12"/>
  <c r="AQ27" i="12" s="1"/>
  <c r="AD53" i="3"/>
  <c r="AU18" i="12"/>
  <c r="AE106" i="3"/>
  <c r="A103" i="3"/>
  <c r="AD59" i="3"/>
  <c r="AU19" i="12"/>
  <c r="AD113" i="3"/>
  <c r="AU28" i="12"/>
  <c r="AK5" i="3"/>
  <c r="AA13" i="3" s="1"/>
  <c r="AE104" i="3"/>
  <c r="AG32" i="3"/>
  <c r="C101" i="3"/>
  <c r="C47" i="3"/>
  <c r="C59" i="3"/>
  <c r="C71" i="3"/>
  <c r="C83" i="3"/>
  <c r="C119" i="3"/>
  <c r="C125" i="3"/>
  <c r="C89" i="3"/>
  <c r="C53" i="3"/>
  <c r="C77" i="3"/>
  <c r="C65" i="3"/>
  <c r="C95" i="3"/>
  <c r="AE130" i="3"/>
  <c r="AH130" i="3"/>
  <c r="AF58" i="3"/>
  <c r="AE128" i="3"/>
  <c r="AG128" i="3"/>
  <c r="AK56" i="3"/>
  <c r="AG59" i="3" s="1"/>
  <c r="AE55" i="3"/>
  <c r="AE37" i="3"/>
  <c r="AE40" i="3"/>
  <c r="AE73" i="3"/>
  <c r="AE74" i="3"/>
  <c r="AE46" i="3"/>
  <c r="AE44" i="3"/>
  <c r="AG56" i="3"/>
  <c r="AE56" i="3"/>
  <c r="AE49" i="3"/>
  <c r="AK110" i="3"/>
  <c r="AH106" i="3"/>
  <c r="AE70" i="3"/>
  <c r="AE43" i="3"/>
  <c r="AE127" i="3"/>
  <c r="AH76" i="3"/>
  <c r="AE79" i="3"/>
  <c r="AG106" i="3"/>
  <c r="AG76" i="3"/>
  <c r="AE103" i="3"/>
  <c r="AF64" i="3"/>
  <c r="AK128" i="3"/>
  <c r="AK74" i="3"/>
  <c r="AH58" i="3"/>
  <c r="AG74" i="3"/>
  <c r="AE61" i="3"/>
  <c r="AE76" i="3"/>
  <c r="AG64" i="3"/>
  <c r="AG130" i="3"/>
  <c r="AK44" i="3"/>
  <c r="AK62" i="3"/>
  <c r="AE92" i="3"/>
  <c r="AH46" i="3"/>
  <c r="AG58" i="3"/>
  <c r="AG116" i="3"/>
  <c r="AK68" i="3"/>
  <c r="AE91" i="3"/>
  <c r="AG44" i="3"/>
  <c r="AE116" i="3"/>
  <c r="AK104" i="3"/>
  <c r="AG62" i="3"/>
  <c r="AF76" i="3"/>
  <c r="AE68" i="3"/>
  <c r="AK92" i="3"/>
  <c r="AF46" i="3"/>
  <c r="AF118" i="3"/>
  <c r="AH64" i="3"/>
  <c r="AE94" i="3"/>
  <c r="AH52" i="3"/>
  <c r="AF106" i="3"/>
  <c r="AH124" i="3"/>
  <c r="AF70" i="3"/>
  <c r="AH118" i="3"/>
  <c r="AG104" i="3"/>
  <c r="AE62" i="3"/>
  <c r="AG70" i="3"/>
  <c r="AK116" i="3"/>
  <c r="AG68" i="3"/>
  <c r="AF94" i="3"/>
  <c r="AH88" i="3"/>
  <c r="AE67" i="3"/>
  <c r="AG94" i="3"/>
  <c r="AE88" i="3"/>
  <c r="AE85" i="3"/>
  <c r="AE109" i="3"/>
  <c r="AH94" i="3"/>
  <c r="AG86" i="3"/>
  <c r="AE100" i="3"/>
  <c r="AF40" i="3"/>
  <c r="AG50" i="3"/>
  <c r="AG124" i="3"/>
  <c r="AK32" i="3"/>
  <c r="AG98" i="3"/>
  <c r="AE86" i="3"/>
  <c r="AH34" i="3"/>
  <c r="AE98" i="3"/>
  <c r="AE124" i="3"/>
  <c r="AE115" i="3"/>
  <c r="AG88" i="3"/>
  <c r="AE34" i="3"/>
  <c r="AK80" i="3"/>
  <c r="AG83" i="3" s="1"/>
  <c r="AE82" i="3"/>
  <c r="AE97" i="3"/>
  <c r="AG80" i="3"/>
  <c r="AK98" i="3"/>
  <c r="AE31" i="3"/>
  <c r="AK38" i="3"/>
  <c r="AF88" i="3"/>
  <c r="AE32" i="3"/>
  <c r="AE52" i="3"/>
  <c r="AE38" i="3"/>
  <c r="AE122" i="3"/>
  <c r="AH100" i="3"/>
  <c r="AG122" i="3"/>
  <c r="AF34" i="3"/>
  <c r="AF130" i="3"/>
  <c r="AK122" i="3"/>
  <c r="AE118" i="3"/>
  <c r="AK86" i="3"/>
  <c r="AG34" i="3"/>
  <c r="AG100" i="3"/>
  <c r="AG40" i="3"/>
  <c r="AF52" i="3"/>
  <c r="AE50" i="3"/>
  <c r="AH40" i="3"/>
  <c r="AF100" i="3"/>
  <c r="AF124" i="3"/>
  <c r="AK50" i="3"/>
  <c r="AE80" i="3"/>
  <c r="AH112" i="3"/>
  <c r="AH82" i="3"/>
  <c r="AG110" i="3"/>
  <c r="AG82" i="3"/>
  <c r="AE110" i="3"/>
  <c r="AF112" i="3"/>
  <c r="AG112" i="3"/>
  <c r="AG92" i="3"/>
  <c r="AL13" i="3"/>
  <c r="AG13" i="3" s="1"/>
  <c r="AD129" i="3"/>
  <c r="R129" i="3"/>
  <c r="F129" i="3"/>
  <c r="S123" i="3"/>
  <c r="G123" i="3"/>
  <c r="AA117" i="3"/>
  <c r="O117" i="3"/>
  <c r="C117" i="3"/>
  <c r="W111" i="3"/>
  <c r="K111" i="3"/>
  <c r="S105" i="3"/>
  <c r="G105" i="3"/>
  <c r="AD99" i="3"/>
  <c r="R99" i="3"/>
  <c r="F99" i="3"/>
  <c r="Y93" i="3"/>
  <c r="M93" i="3"/>
  <c r="AD87" i="3"/>
  <c r="R87" i="3"/>
  <c r="F87" i="3"/>
  <c r="AA81" i="3"/>
  <c r="O81" i="3"/>
  <c r="C81" i="3"/>
  <c r="V75" i="3"/>
  <c r="J75" i="3"/>
  <c r="W69" i="3"/>
  <c r="K69" i="3"/>
  <c r="AA63" i="3"/>
  <c r="O63" i="3"/>
  <c r="C63" i="3"/>
  <c r="S57" i="3"/>
  <c r="G57" i="3"/>
  <c r="AD51" i="3"/>
  <c r="R51" i="3"/>
  <c r="F51" i="3"/>
  <c r="V45" i="3"/>
  <c r="J45" i="3"/>
  <c r="Z129" i="3"/>
  <c r="N129" i="3"/>
  <c r="AA123" i="3"/>
  <c r="O123" i="3"/>
  <c r="C123" i="3"/>
  <c r="W117" i="3"/>
  <c r="K117" i="3"/>
  <c r="S111" i="3"/>
  <c r="G111" i="3"/>
  <c r="AA105" i="3"/>
  <c r="O105" i="3"/>
  <c r="C105" i="3"/>
  <c r="Z99" i="3"/>
  <c r="N99" i="3"/>
  <c r="U93" i="3"/>
  <c r="I93" i="3"/>
  <c r="Z87" i="3"/>
  <c r="N87" i="3"/>
  <c r="W81" i="3"/>
  <c r="K81" i="3"/>
  <c r="AD75" i="3"/>
  <c r="R75" i="3"/>
  <c r="F75" i="3"/>
  <c r="S69" i="3"/>
  <c r="G69" i="3"/>
  <c r="W63" i="3"/>
  <c r="K63" i="3"/>
  <c r="AA57" i="3"/>
  <c r="O57" i="3"/>
  <c r="C57" i="3"/>
  <c r="Z51" i="3"/>
  <c r="N51" i="3"/>
  <c r="AD45" i="3"/>
  <c r="R45" i="3"/>
  <c r="F45" i="3"/>
  <c r="V129" i="3"/>
  <c r="H129" i="3"/>
  <c r="W123" i="3"/>
  <c r="I123" i="3"/>
  <c r="S117" i="3"/>
  <c r="E117" i="3"/>
  <c r="AC111" i="3"/>
  <c r="O111" i="3"/>
  <c r="Y105" i="3"/>
  <c r="K105" i="3"/>
  <c r="X99" i="3"/>
  <c r="J99" i="3"/>
  <c r="S93" i="3"/>
  <c r="E93" i="3"/>
  <c r="AA87" i="3"/>
  <c r="L87" i="3"/>
  <c r="X81" i="3"/>
  <c r="I81" i="3"/>
  <c r="S75" i="3"/>
  <c r="D75" i="3"/>
  <c r="T69" i="3"/>
  <c r="E69" i="3"/>
  <c r="Z63" i="3"/>
  <c r="L63" i="3"/>
  <c r="R57" i="3"/>
  <c r="D57" i="3"/>
  <c r="Q51" i="3"/>
  <c r="C51" i="3"/>
  <c r="X45" i="3"/>
  <c r="I45" i="3"/>
  <c r="U39" i="3"/>
  <c r="I39" i="3"/>
  <c r="Y33" i="3"/>
  <c r="M33" i="3"/>
  <c r="T129" i="3"/>
  <c r="D129" i="3"/>
  <c r="AD123" i="3"/>
  <c r="N123" i="3"/>
  <c r="T117" i="3"/>
  <c r="D117" i="3"/>
  <c r="Y111" i="3"/>
  <c r="I111" i="3"/>
  <c r="AD105" i="3"/>
  <c r="N105" i="3"/>
  <c r="V99" i="3"/>
  <c r="G99" i="3"/>
  <c r="AA93" i="3"/>
  <c r="K93" i="3"/>
  <c r="AC87" i="3"/>
  <c r="M87" i="3"/>
  <c r="S81" i="3"/>
  <c r="D81" i="3"/>
  <c r="X75" i="3"/>
  <c r="H75" i="3"/>
  <c r="Q69" i="3"/>
  <c r="S63" i="3"/>
  <c r="D63" i="3"/>
  <c r="U57" i="3"/>
  <c r="E57" i="3"/>
  <c r="AB51" i="3"/>
  <c r="L51" i="3"/>
  <c r="AC45" i="3"/>
  <c r="N45" i="3"/>
  <c r="T39" i="3"/>
  <c r="G39" i="3"/>
  <c r="S33" i="3"/>
  <c r="F33" i="3"/>
  <c r="S129" i="3"/>
  <c r="C129" i="3"/>
  <c r="AC123" i="3"/>
  <c r="M123" i="3"/>
  <c r="R117" i="3"/>
  <c r="X111" i="3"/>
  <c r="H111" i="3"/>
  <c r="M105" i="3"/>
  <c r="U99" i="3"/>
  <c r="E99" i="3"/>
  <c r="Z93" i="3"/>
  <c r="J93" i="3"/>
  <c r="AB87" i="3"/>
  <c r="K87" i="3"/>
  <c r="R81" i="3"/>
  <c r="W75" i="3"/>
  <c r="G75" i="3"/>
  <c r="P69" i="3"/>
  <c r="R63" i="3"/>
  <c r="T57" i="3"/>
  <c r="K51" i="3"/>
  <c r="AB45" i="3"/>
  <c r="M45" i="3"/>
  <c r="S39" i="3"/>
  <c r="R33" i="3"/>
  <c r="E33" i="3"/>
  <c r="AC105" i="3"/>
  <c r="AA51" i="3"/>
  <c r="F39" i="3"/>
  <c r="Q129" i="3"/>
  <c r="AB123" i="3"/>
  <c r="L123" i="3"/>
  <c r="Q117" i="3"/>
  <c r="V111" i="3"/>
  <c r="F111" i="3"/>
  <c r="AB105" i="3"/>
  <c r="L105" i="3"/>
  <c r="T99" i="3"/>
  <c r="D99" i="3"/>
  <c r="X93" i="3"/>
  <c r="H93" i="3"/>
  <c r="Y87" i="3"/>
  <c r="J87" i="3"/>
  <c r="Q81" i="3"/>
  <c r="U75" i="3"/>
  <c r="E75" i="3"/>
  <c r="AD69" i="3"/>
  <c r="O69" i="3"/>
  <c r="Q63" i="3"/>
  <c r="Q57" i="3"/>
  <c r="Y51" i="3"/>
  <c r="J51" i="3"/>
  <c r="AA45" i="3"/>
  <c r="R39" i="3"/>
  <c r="E39" i="3"/>
  <c r="AD33" i="3"/>
  <c r="Q33" i="3"/>
  <c r="D33" i="3"/>
  <c r="U129" i="3"/>
  <c r="H123" i="3"/>
  <c r="M117" i="3"/>
  <c r="R111" i="3"/>
  <c r="W105" i="3"/>
  <c r="D105" i="3"/>
  <c r="L99" i="3"/>
  <c r="P93" i="3"/>
  <c r="S87" i="3"/>
  <c r="Y81" i="3"/>
  <c r="E81" i="3"/>
  <c r="AB75" i="3"/>
  <c r="I75" i="3"/>
  <c r="R69" i="3"/>
  <c r="T63" i="3"/>
  <c r="V57" i="3"/>
  <c r="AC51" i="3"/>
  <c r="G51" i="3"/>
  <c r="H45" i="3"/>
  <c r="P39" i="3"/>
  <c r="AB33" i="3"/>
  <c r="K33" i="3"/>
  <c r="P129" i="3"/>
  <c r="Z123" i="3"/>
  <c r="F123" i="3"/>
  <c r="L117" i="3"/>
  <c r="Q111" i="3"/>
  <c r="V105" i="3"/>
  <c r="K99" i="3"/>
  <c r="O93" i="3"/>
  <c r="Q87" i="3"/>
  <c r="V81" i="3"/>
  <c r="AA75" i="3"/>
  <c r="C75" i="3"/>
  <c r="N69" i="3"/>
  <c r="P63" i="3"/>
  <c r="P57" i="3"/>
  <c r="X51" i="3"/>
  <c r="E51" i="3"/>
  <c r="Z45" i="3"/>
  <c r="G45" i="3"/>
  <c r="O39" i="3"/>
  <c r="AA33" i="3"/>
  <c r="J33" i="3"/>
  <c r="L129" i="3"/>
  <c r="V123" i="3"/>
  <c r="AB117" i="3"/>
  <c r="H117" i="3"/>
  <c r="M111" i="3"/>
  <c r="R105" i="3"/>
  <c r="AA99" i="3"/>
  <c r="C99" i="3"/>
  <c r="AD93" i="3"/>
  <c r="G93" i="3"/>
  <c r="I87" i="3"/>
  <c r="P81" i="3"/>
  <c r="T75" i="3"/>
  <c r="AC69" i="3"/>
  <c r="J69" i="3"/>
  <c r="J63" i="3"/>
  <c r="L57" i="3"/>
  <c r="U51" i="3"/>
  <c r="U45" i="3"/>
  <c r="C45" i="3"/>
  <c r="AB39" i="3"/>
  <c r="L39" i="3"/>
  <c r="W33" i="3"/>
  <c r="G33" i="3"/>
  <c r="K129" i="3"/>
  <c r="U123" i="3"/>
  <c r="Z117" i="3"/>
  <c r="G117" i="3"/>
  <c r="L111" i="3"/>
  <c r="Q105" i="3"/>
  <c r="Y99" i="3"/>
  <c r="AC93" i="3"/>
  <c r="F93" i="3"/>
  <c r="H87" i="3"/>
  <c r="N81" i="3"/>
  <c r="Q75" i="3"/>
  <c r="AB69" i="3"/>
  <c r="I69" i="3"/>
  <c r="AD63" i="3"/>
  <c r="I63" i="3"/>
  <c r="AD57" i="3"/>
  <c r="K57" i="3"/>
  <c r="T51" i="3"/>
  <c r="T45" i="3"/>
  <c r="AA39" i="3"/>
  <c r="K39" i="3"/>
  <c r="V33" i="3"/>
  <c r="AC129" i="3"/>
  <c r="J129" i="3"/>
  <c r="T123" i="3"/>
  <c r="Y117" i="3"/>
  <c r="F117" i="3"/>
  <c r="AD111" i="3"/>
  <c r="J111" i="3"/>
  <c r="P105" i="3"/>
  <c r="W99" i="3"/>
  <c r="AB93" i="3"/>
  <c r="D93" i="3"/>
  <c r="G87" i="3"/>
  <c r="M81" i="3"/>
  <c r="P75" i="3"/>
  <c r="AA69" i="3"/>
  <c r="H69" i="3"/>
  <c r="AC63" i="3"/>
  <c r="H63" i="3"/>
  <c r="AC57" i="3"/>
  <c r="J57" i="3"/>
  <c r="D123" i="3"/>
  <c r="AB111" i="3"/>
  <c r="Z105" i="3"/>
  <c r="AB99" i="3"/>
  <c r="T93" i="3"/>
  <c r="P87" i="3"/>
  <c r="J81" i="3"/>
  <c r="K75" i="3"/>
  <c r="F69" i="3"/>
  <c r="Z57" i="3"/>
  <c r="J39" i="3"/>
  <c r="U33" i="3"/>
  <c r="AD117" i="3"/>
  <c r="AA111" i="3"/>
  <c r="X105" i="3"/>
  <c r="S99" i="3"/>
  <c r="O87" i="3"/>
  <c r="H81" i="3"/>
  <c r="D69" i="3"/>
  <c r="Y57" i="3"/>
  <c r="T33" i="3"/>
  <c r="AB129" i="3"/>
  <c r="G81" i="3"/>
  <c r="AB63" i="3"/>
  <c r="X57" i="3"/>
  <c r="W51" i="3"/>
  <c r="Y45" i="3"/>
  <c r="AD39" i="3"/>
  <c r="X117" i="3"/>
  <c r="T105" i="3"/>
  <c r="P99" i="3"/>
  <c r="D87" i="3"/>
  <c r="Y63" i="3"/>
  <c r="W57" i="3"/>
  <c r="W45" i="3"/>
  <c r="AC39" i="3"/>
  <c r="C39" i="3"/>
  <c r="O33" i="3"/>
  <c r="Y129" i="3"/>
  <c r="X63" i="3"/>
  <c r="S51" i="3"/>
  <c r="S45" i="3"/>
  <c r="Z39" i="3"/>
  <c r="X129" i="3"/>
  <c r="X123" i="3"/>
  <c r="U117" i="3"/>
  <c r="P111" i="3"/>
  <c r="I105" i="3"/>
  <c r="M99" i="3"/>
  <c r="C93" i="3"/>
  <c r="AD81" i="3"/>
  <c r="AC75" i="3"/>
  <c r="Z69" i="3"/>
  <c r="V63" i="3"/>
  <c r="M57" i="3"/>
  <c r="P51" i="3"/>
  <c r="Q45" i="3"/>
  <c r="R93" i="3"/>
  <c r="H39" i="3"/>
  <c r="AC117" i="3"/>
  <c r="Z111" i="3"/>
  <c r="U105" i="3"/>
  <c r="Q99" i="3"/>
  <c r="Q93" i="3"/>
  <c r="E87" i="3"/>
  <c r="C69" i="3"/>
  <c r="D39" i="3"/>
  <c r="P33" i="3"/>
  <c r="AA129" i="3"/>
  <c r="U111" i="3"/>
  <c r="N93" i="3"/>
  <c r="F81" i="3"/>
  <c r="V51" i="3"/>
  <c r="Y123" i="3"/>
  <c r="V117" i="3"/>
  <c r="T111" i="3"/>
  <c r="J105" i="3"/>
  <c r="O99" i="3"/>
  <c r="L93" i="3"/>
  <c r="C87" i="3"/>
  <c r="N57" i="3"/>
  <c r="N33" i="3"/>
  <c r="Y39" i="3"/>
  <c r="L33" i="3"/>
  <c r="W129" i="3"/>
  <c r="R123" i="3"/>
  <c r="P117" i="3"/>
  <c r="N111" i="3"/>
  <c r="H105" i="3"/>
  <c r="I99" i="3"/>
  <c r="I33" i="3"/>
  <c r="O129" i="3"/>
  <c r="Q123" i="3"/>
  <c r="N117" i="3"/>
  <c r="E111" i="3"/>
  <c r="F105" i="3"/>
  <c r="H99" i="3"/>
  <c r="H33" i="3"/>
  <c r="M129" i="3"/>
  <c r="P123" i="3"/>
  <c r="J117" i="3"/>
  <c r="D111" i="3"/>
  <c r="E105" i="3"/>
  <c r="I129" i="3"/>
  <c r="K123" i="3"/>
  <c r="C111" i="3"/>
  <c r="G129" i="3"/>
  <c r="E129" i="3"/>
  <c r="AB57" i="3"/>
  <c r="Z75" i="3"/>
  <c r="U63" i="3"/>
  <c r="P45" i="3"/>
  <c r="X87" i="3"/>
  <c r="AB81" i="3"/>
  <c r="Y75" i="3"/>
  <c r="N63" i="3"/>
  <c r="H57" i="3"/>
  <c r="M51" i="3"/>
  <c r="O45" i="3"/>
  <c r="W87" i="3"/>
  <c r="O75" i="3"/>
  <c r="M63" i="3"/>
  <c r="I51" i="3"/>
  <c r="V39" i="3"/>
  <c r="U81" i="3"/>
  <c r="U69" i="3"/>
  <c r="G63" i="3"/>
  <c r="H51" i="3"/>
  <c r="K45" i="3"/>
  <c r="AC33" i="3"/>
  <c r="U87" i="3"/>
  <c r="M75" i="3"/>
  <c r="M69" i="3"/>
  <c r="D51" i="3"/>
  <c r="N39" i="3"/>
  <c r="Z33" i="3"/>
  <c r="AC99" i="3"/>
  <c r="T87" i="3"/>
  <c r="L75" i="3"/>
  <c r="L69" i="3"/>
  <c r="D45" i="3"/>
  <c r="X33" i="3"/>
  <c r="I117" i="3"/>
  <c r="J123" i="3"/>
  <c r="E123" i="3"/>
  <c r="AC81" i="3"/>
  <c r="Y69" i="3"/>
  <c r="I57" i="3"/>
  <c r="O51" i="3"/>
  <c r="X39" i="3"/>
  <c r="X69" i="3"/>
  <c r="W39" i="3"/>
  <c r="Z81" i="3"/>
  <c r="V69" i="3"/>
  <c r="F57" i="3"/>
  <c r="L45" i="3"/>
  <c r="V87" i="3"/>
  <c r="N75" i="3"/>
  <c r="Q39" i="3"/>
  <c r="W93" i="3"/>
  <c r="T81" i="3"/>
  <c r="F63" i="3"/>
  <c r="E45" i="3"/>
  <c r="V93" i="3"/>
  <c r="L81" i="3"/>
  <c r="E63" i="3"/>
  <c r="M39" i="3"/>
  <c r="C21" i="3"/>
  <c r="Q5" i="9" a="1"/>
  <c r="Q5" i="9" l="1"/>
  <c r="P14" i="3"/>
  <c r="M13" i="3"/>
  <c r="AD13" i="3"/>
  <c r="AD17" i="3" s="1"/>
  <c r="AA14" i="3"/>
  <c r="W14" i="3"/>
  <c r="O13" i="3"/>
  <c r="O17" i="3" s="1"/>
  <c r="H14" i="3"/>
  <c r="L14" i="3"/>
  <c r="V13" i="3"/>
  <c r="V17" i="3" s="1"/>
  <c r="Z13" i="3"/>
  <c r="X14" i="3"/>
  <c r="T14" i="3"/>
  <c r="E14" i="3"/>
  <c r="J13" i="3"/>
  <c r="J17" i="3" s="1"/>
  <c r="D14" i="3"/>
  <c r="S13" i="3"/>
  <c r="C13" i="3"/>
  <c r="S14" i="3"/>
  <c r="O14" i="3"/>
  <c r="N13" i="3"/>
  <c r="V14" i="3"/>
  <c r="I13" i="3"/>
  <c r="I17" i="3" s="1"/>
  <c r="AC13" i="3"/>
  <c r="AC17" i="3" s="1"/>
  <c r="J14" i="3"/>
  <c r="AD14" i="3"/>
  <c r="Q13" i="3"/>
  <c r="Q17" i="3" s="1"/>
  <c r="X13" i="3"/>
  <c r="X17" i="3" s="1"/>
  <c r="T13" i="3"/>
  <c r="E13" i="3"/>
  <c r="L13" i="3"/>
  <c r="H13" i="3"/>
  <c r="H17" i="3" s="1"/>
  <c r="Z14" i="3"/>
  <c r="I14" i="3"/>
  <c r="AC14" i="3"/>
  <c r="P13" i="3"/>
  <c r="P17" i="3" s="1"/>
  <c r="W13" i="3"/>
  <c r="W17" i="3" s="1"/>
  <c r="Q14" i="3"/>
  <c r="Y14" i="3"/>
  <c r="C14" i="3"/>
  <c r="C15" i="3" s="1"/>
  <c r="G14" i="3"/>
  <c r="G13" i="3"/>
  <c r="N14" i="3"/>
  <c r="U14" i="3"/>
  <c r="U13" i="3"/>
  <c r="AB14" i="3"/>
  <c r="AB13" i="3"/>
  <c r="K14" i="3"/>
  <c r="K13" i="3"/>
  <c r="K17" i="3" s="1"/>
  <c r="R14" i="3"/>
  <c r="R13" i="3"/>
  <c r="R17" i="3" s="1"/>
  <c r="M14" i="3"/>
  <c r="Y13" i="3"/>
  <c r="D13" i="3"/>
  <c r="D17" i="3" s="1"/>
  <c r="F14" i="3"/>
  <c r="F13" i="3"/>
  <c r="AE83" i="3"/>
  <c r="AF59" i="3"/>
  <c r="AF53" i="3"/>
  <c r="AJ53" i="3"/>
  <c r="AL122" i="3"/>
  <c r="AG121" i="3" s="1"/>
  <c r="AJ125" i="3"/>
  <c r="AH47" i="3"/>
  <c r="AJ47" i="3"/>
  <c r="AE101" i="3"/>
  <c r="AJ101" i="3"/>
  <c r="AJ71" i="3"/>
  <c r="AL74" i="3"/>
  <c r="AG73" i="3" s="1"/>
  <c r="AJ77" i="3"/>
  <c r="AH89" i="3"/>
  <c r="AJ89" i="3"/>
  <c r="AL128" i="3"/>
  <c r="AG127" i="3" s="1"/>
  <c r="AJ131" i="3"/>
  <c r="AL104" i="3"/>
  <c r="AG103" i="3" s="1"/>
  <c r="AJ107" i="3"/>
  <c r="AJ83" i="3"/>
  <c r="AL116" i="3"/>
  <c r="AG115" i="3" s="1"/>
  <c r="AJ119" i="3"/>
  <c r="AH95" i="3"/>
  <c r="AJ95" i="3"/>
  <c r="AL38" i="3"/>
  <c r="AG37" i="3" s="1"/>
  <c r="AJ41" i="3"/>
  <c r="AJ65" i="3"/>
  <c r="AG113" i="3"/>
  <c r="AJ113" i="3"/>
  <c r="AL56" i="3"/>
  <c r="AG55" i="3" s="1"/>
  <c r="AJ59" i="3"/>
  <c r="AE65" i="3"/>
  <c r="AL32" i="3"/>
  <c r="AG31" i="3" s="1"/>
  <c r="AE59" i="3"/>
  <c r="AE113" i="3"/>
  <c r="AF113" i="3"/>
  <c r="AF83" i="3"/>
  <c r="AF71" i="3"/>
  <c r="AH131" i="3"/>
  <c r="AL110" i="3"/>
  <c r="AG109" i="3" s="1"/>
  <c r="AH59" i="3"/>
  <c r="AG57" i="3" s="1"/>
  <c r="AG60" i="3" s="1"/>
  <c r="AH113" i="3"/>
  <c r="AG95" i="3"/>
  <c r="AE95" i="3"/>
  <c r="AG107" i="3"/>
  <c r="AL62" i="3"/>
  <c r="AG61" i="3" s="1"/>
  <c r="AH107" i="3"/>
  <c r="AH65" i="3"/>
  <c r="AE107" i="3"/>
  <c r="AF77" i="3"/>
  <c r="AF65" i="3"/>
  <c r="AF95" i="3"/>
  <c r="AE41" i="3"/>
  <c r="AL92" i="3"/>
  <c r="AG91" i="3" s="1"/>
  <c r="AF107" i="3"/>
  <c r="AG65" i="3"/>
  <c r="AE77" i="3"/>
  <c r="AL80" i="3"/>
  <c r="AG79" i="3" s="1"/>
  <c r="AE131" i="3"/>
  <c r="AH35" i="3"/>
  <c r="AF119" i="3"/>
  <c r="AH83" i="3"/>
  <c r="AG81" i="3" s="1"/>
  <c r="AG84" i="3" s="1"/>
  <c r="AE47" i="3"/>
  <c r="AH119" i="3"/>
  <c r="AH77" i="3"/>
  <c r="AF47" i="3"/>
  <c r="AH53" i="3"/>
  <c r="AL44" i="3"/>
  <c r="AG43" i="3" s="1"/>
  <c r="AG47" i="3"/>
  <c r="AF101" i="3"/>
  <c r="AG119" i="3"/>
  <c r="AL68" i="3"/>
  <c r="AG67" i="3" s="1"/>
  <c r="AG77" i="3"/>
  <c r="AE119" i="3"/>
  <c r="AF131" i="3"/>
  <c r="AG53" i="3"/>
  <c r="AG35" i="3"/>
  <c r="AH71" i="3"/>
  <c r="AE71" i="3"/>
  <c r="AG71" i="3"/>
  <c r="AG131" i="3"/>
  <c r="AL50" i="3"/>
  <c r="AG49" i="3" s="1"/>
  <c r="AH125" i="3"/>
  <c r="AF125" i="3"/>
  <c r="AG125" i="3"/>
  <c r="AF41" i="3"/>
  <c r="AL86" i="3"/>
  <c r="AG85" i="3" s="1"/>
  <c r="AE125" i="3"/>
  <c r="AG41" i="3"/>
  <c r="AG101" i="3"/>
  <c r="AF89" i="3"/>
  <c r="AH41" i="3"/>
  <c r="AG89" i="3"/>
  <c r="AL98" i="3"/>
  <c r="AG97" i="3" s="1"/>
  <c r="AE89" i="3"/>
  <c r="AH101" i="3"/>
  <c r="AE53" i="3"/>
  <c r="G3" i="9"/>
  <c r="I21" i="9" a="1"/>
  <c r="AC20" i="9" a="1"/>
  <c r="I16" i="9" a="1"/>
  <c r="I15" i="9" a="1"/>
  <c r="AC13" i="9" a="1"/>
  <c r="I9" i="9" a="1"/>
  <c r="I20" i="9" a="1"/>
  <c r="AC9" i="9" a="1"/>
  <c r="I14" i="9" a="1"/>
  <c r="G5" i="9" a="1"/>
  <c r="AC14" i="9" a="1"/>
  <c r="AC16" i="9" a="1"/>
  <c r="A8" i="9" a="1"/>
  <c r="AC8" i="9" a="1"/>
  <c r="I13" i="9" a="1"/>
  <c r="AC15" i="9" a="1"/>
  <c r="AC15" i="9" l="1"/>
  <c r="AC13" i="9"/>
  <c r="I9" i="9"/>
  <c r="AC8" i="9"/>
  <c r="I16" i="9"/>
  <c r="I15" i="9"/>
  <c r="I14" i="9"/>
  <c r="G5" i="9"/>
  <c r="A8" i="9"/>
  <c r="F8" i="9" s="1"/>
  <c r="AC16" i="9"/>
  <c r="AC9" i="9"/>
  <c r="I20" i="9"/>
  <c r="AC14" i="9"/>
  <c r="I21" i="9"/>
  <c r="AC20" i="9"/>
  <c r="I13" i="9"/>
  <c r="AU12" i="12"/>
  <c r="AR12" i="12"/>
  <c r="AQ12" i="12" s="1"/>
  <c r="AL15" i="3"/>
  <c r="AE111" i="3"/>
  <c r="AE114" i="3" s="1"/>
  <c r="AG33" i="3"/>
  <c r="AG36" i="3" s="1"/>
  <c r="AG93" i="3"/>
  <c r="AG96" i="3" s="1"/>
  <c r="AE81" i="3"/>
  <c r="AE84" i="3" s="1"/>
  <c r="AG111" i="3"/>
  <c r="AG114" i="3" s="1"/>
  <c r="AG87" i="3"/>
  <c r="AG90" i="3" s="1"/>
  <c r="AE57" i="3"/>
  <c r="AE60" i="3" s="1"/>
  <c r="AG45" i="3"/>
  <c r="AG48" i="3" s="1"/>
  <c r="AE99" i="3"/>
  <c r="AE102" i="3" s="1"/>
  <c r="AE63" i="3"/>
  <c r="AE66" i="3" s="1"/>
  <c r="AE51" i="3"/>
  <c r="AE54" i="3" s="1"/>
  <c r="AG129" i="3"/>
  <c r="AG132" i="3" s="1"/>
  <c r="AG63" i="3"/>
  <c r="AG66" i="3" s="1"/>
  <c r="AE39" i="3"/>
  <c r="AE42" i="3" s="1"/>
  <c r="AG123" i="3"/>
  <c r="AG126" i="3" s="1"/>
  <c r="AG69" i="3"/>
  <c r="AG72" i="3" s="1"/>
  <c r="AE93" i="3"/>
  <c r="AE96" i="3" s="1"/>
  <c r="AE69" i="3"/>
  <c r="AE72" i="3" s="1"/>
  <c r="AE105" i="3"/>
  <c r="AE108" i="3" s="1"/>
  <c r="AG105" i="3"/>
  <c r="AG108" i="3" s="1"/>
  <c r="AE129" i="3"/>
  <c r="AE132" i="3" s="1"/>
  <c r="AE117" i="3"/>
  <c r="AE120" i="3" s="1"/>
  <c r="AG39" i="3"/>
  <c r="AG42" i="3" s="1"/>
  <c r="AE75" i="3"/>
  <c r="AE78" i="3" s="1"/>
  <c r="AG117" i="3"/>
  <c r="AG120" i="3" s="1"/>
  <c r="AE45" i="3"/>
  <c r="AE48" i="3" s="1"/>
  <c r="AG51" i="3"/>
  <c r="AG54" i="3" s="1"/>
  <c r="AG75" i="3"/>
  <c r="AG78" i="3" s="1"/>
  <c r="AE123" i="3"/>
  <c r="AE126" i="3" s="1"/>
  <c r="AE87" i="3"/>
  <c r="AE90" i="3" s="1"/>
  <c r="AG99" i="3"/>
  <c r="AG102" i="3" s="1"/>
  <c r="AG3" i="9" a="1"/>
  <c r="AC21" i="9" a="1"/>
  <c r="I8" i="9" a="1"/>
  <c r="AG3" i="9" l="1"/>
  <c r="AG5" i="9" s="1"/>
  <c r="A9" i="9"/>
  <c r="A10" i="9" s="1"/>
  <c r="I8" i="9"/>
  <c r="AC21" i="9"/>
  <c r="AE17" i="3"/>
  <c r="AF17" i="3"/>
  <c r="B4" i="3"/>
  <c r="F9" i="9" l="1"/>
  <c r="A11" i="9"/>
  <c r="F10" i="9"/>
  <c r="AK7" i="3"/>
  <c r="A12" i="9" l="1"/>
  <c r="F11" i="9"/>
  <c r="U15" i="3"/>
  <c r="J15" i="3"/>
  <c r="E15" i="3"/>
  <c r="S15" i="3"/>
  <c r="Q15" i="3"/>
  <c r="V15" i="3"/>
  <c r="Z15" i="3"/>
  <c r="O15" i="3"/>
  <c r="AC15" i="3"/>
  <c r="AA15" i="3"/>
  <c r="W15" i="3"/>
  <c r="H15" i="3"/>
  <c r="AB15" i="3"/>
  <c r="P15" i="3"/>
  <c r="G15" i="3"/>
  <c r="X15" i="3"/>
  <c r="F15" i="3"/>
  <c r="L15" i="3"/>
  <c r="R15" i="3"/>
  <c r="I15" i="3"/>
  <c r="M15" i="3"/>
  <c r="AD15" i="3"/>
  <c r="T15" i="3"/>
  <c r="Y15" i="3"/>
  <c r="N15" i="3"/>
  <c r="D15" i="3"/>
  <c r="K15" i="3"/>
  <c r="A43" i="3"/>
  <c r="A37" i="3"/>
  <c r="A67" i="3"/>
  <c r="A61" i="3"/>
  <c r="A55" i="3"/>
  <c r="A49" i="3"/>
  <c r="A31" i="3"/>
  <c r="A13" i="9" l="1"/>
  <c r="F12" i="9"/>
  <c r="AE15" i="3"/>
  <c r="AE18" i="3" s="1"/>
  <c r="A14" i="9" l="1"/>
  <c r="F13" i="9"/>
  <c r="AK18" i="3"/>
  <c r="A15" i="9" l="1"/>
  <c r="F14" i="9"/>
  <c r="A16" i="9" l="1"/>
  <c r="F15" i="9"/>
  <c r="A17" i="9" l="1"/>
  <c r="F16" i="9"/>
  <c r="A18" i="9" l="1"/>
  <c r="F17" i="9"/>
  <c r="AK42" i="3"/>
  <c r="A19" i="9" l="1"/>
  <c r="F18" i="9"/>
  <c r="AK48" i="3"/>
  <c r="A20" i="9" l="1"/>
  <c r="F19" i="9"/>
  <c r="AK54" i="3"/>
  <c r="A21" i="9" l="1"/>
  <c r="F20" i="9"/>
  <c r="AK60" i="3"/>
  <c r="U8" i="9" l="1"/>
  <c r="F21" i="9"/>
  <c r="AK66" i="3"/>
  <c r="U9" i="9" l="1"/>
  <c r="Z8" i="9"/>
  <c r="AK72" i="3"/>
  <c r="U10" i="9" l="1"/>
  <c r="Z9" i="9"/>
  <c r="AK78" i="3"/>
  <c r="U11" i="9" l="1"/>
  <c r="Z10" i="9"/>
  <c r="AK84" i="3"/>
  <c r="U12" i="9" l="1"/>
  <c r="Z11" i="9"/>
  <c r="AK90" i="3"/>
  <c r="U13" i="9" l="1"/>
  <c r="Z12" i="9"/>
  <c r="AK96" i="3"/>
  <c r="U14" i="9" l="1"/>
  <c r="Z13" i="9"/>
  <c r="AK102" i="3"/>
  <c r="U15" i="9" l="1"/>
  <c r="Z14" i="9"/>
  <c r="AK108" i="3"/>
  <c r="U16" i="9" l="1"/>
  <c r="Z15" i="9"/>
  <c r="AK114" i="3"/>
  <c r="U17" i="9" l="1"/>
  <c r="Z16" i="9"/>
  <c r="AK120" i="3"/>
  <c r="U18" i="9" l="1"/>
  <c r="Z17" i="9"/>
  <c r="AK126" i="3"/>
  <c r="U19" i="9" l="1"/>
  <c r="Z18" i="9"/>
  <c r="AK132" i="3"/>
  <c r="U20" i="9" l="1"/>
  <c r="Z19" i="9"/>
  <c r="AL18" i="3"/>
  <c r="U21" i="9" l="1"/>
  <c r="Z21" i="9" s="1"/>
  <c r="Z20" i="9"/>
  <c r="AL36" i="3" l="1"/>
  <c r="AL42" i="3" l="1"/>
  <c r="AL48" i="3" l="1"/>
  <c r="AL54" i="3" l="1"/>
  <c r="AL60" i="3" l="1"/>
  <c r="AL66" i="3" l="1"/>
  <c r="AL72" i="3" l="1"/>
  <c r="AL78" i="3" l="1"/>
  <c r="AL84" i="3" l="1"/>
  <c r="AL90" i="3" l="1"/>
  <c r="AL96" i="3" l="1"/>
  <c r="AL102" i="3" l="1"/>
  <c r="AL108" i="3" l="1"/>
  <c r="AL114" i="3" l="1"/>
  <c r="AL120" i="3" l="1"/>
  <c r="AL126" i="3" l="1"/>
  <c r="AL132" i="3" l="1"/>
  <c r="S20" i="3"/>
  <c r="S21" i="3" s="1"/>
  <c r="P20" i="3"/>
  <c r="P21" i="3" s="1"/>
  <c r="L20" i="3"/>
  <c r="L21" i="3" s="1"/>
  <c r="N20" i="3"/>
  <c r="N21" i="3" s="1"/>
  <c r="V19" i="3"/>
  <c r="V23" i="3" s="1"/>
  <c r="O20" i="3"/>
  <c r="O21" i="3" s="1"/>
  <c r="Y19" i="3"/>
  <c r="Y23" i="3" s="1"/>
  <c r="F20" i="3"/>
  <c r="F21" i="3" s="1"/>
  <c r="AB20" i="3"/>
  <c r="AB21" i="3" s="1"/>
  <c r="K19" i="3"/>
  <c r="K23" i="3" s="1"/>
  <c r="Z20" i="3"/>
  <c r="Z21" i="3" s="1"/>
  <c r="M20" i="3"/>
  <c r="M21" i="3" s="1"/>
  <c r="C25" i="3"/>
  <c r="C29" i="3" s="1"/>
  <c r="AC19" i="3"/>
  <c r="AC23" i="3" s="1"/>
  <c r="AD19" i="3"/>
  <c r="AU13" i="12" s="1"/>
  <c r="I19" i="3"/>
  <c r="I23" i="3" s="1"/>
  <c r="X20" i="3"/>
  <c r="X21" i="3" s="1"/>
  <c r="K20" i="3"/>
  <c r="K21" i="3" s="1"/>
  <c r="D20" i="3"/>
  <c r="D21" i="3" s="1"/>
  <c r="E20" i="3"/>
  <c r="E21" i="3" s="1"/>
  <c r="Q20" i="3"/>
  <c r="Q21" i="3" s="1"/>
  <c r="H19" i="3"/>
  <c r="H23" i="3" s="1"/>
  <c r="Q19" i="3"/>
  <c r="Q23" i="3" s="1"/>
  <c r="J19" i="3"/>
  <c r="J23" i="3" s="1"/>
  <c r="X19" i="3"/>
  <c r="X23" i="3" s="1"/>
  <c r="AA20" i="3"/>
  <c r="AA21" i="3" s="1"/>
  <c r="H20" i="3"/>
  <c r="H21" i="3" s="1"/>
  <c r="U20" i="3"/>
  <c r="U21" i="3" s="1"/>
  <c r="T20" i="3"/>
  <c r="T21" i="3" s="1"/>
  <c r="I20" i="3"/>
  <c r="I21" i="3" s="1"/>
  <c r="W20" i="3"/>
  <c r="W21" i="3" s="1"/>
  <c r="G20" i="3"/>
  <c r="G21" i="3" s="1"/>
  <c r="Y20" i="3"/>
  <c r="Y21" i="3" s="1"/>
  <c r="C26" i="3"/>
  <c r="C27" i="3" s="1"/>
  <c r="V20" i="3"/>
  <c r="V21" i="3" s="1"/>
  <c r="P19" i="3"/>
  <c r="P23" i="3" s="1"/>
  <c r="W19" i="3"/>
  <c r="W23" i="3" s="1"/>
  <c r="AD20" i="3"/>
  <c r="AD21" i="3" s="1"/>
  <c r="J20" i="3"/>
  <c r="J21" i="3" s="1"/>
  <c r="R20" i="3"/>
  <c r="R21" i="3" s="1"/>
  <c r="AG22" i="3"/>
  <c r="AK20" i="3"/>
  <c r="R19" i="3"/>
  <c r="R23" i="3" s="1"/>
  <c r="O19" i="3"/>
  <c r="O23" i="3" s="1"/>
  <c r="AC20" i="3"/>
  <c r="AC21" i="3" s="1"/>
  <c r="W25" i="3"/>
  <c r="W29" i="3" s="1"/>
  <c r="T19" i="3"/>
  <c r="S19" i="3"/>
  <c r="AA19" i="3"/>
  <c r="Z19" i="3"/>
  <c r="F19" i="3"/>
  <c r="E19" i="3"/>
  <c r="L19" i="3"/>
  <c r="AB19" i="3"/>
  <c r="U19" i="3"/>
  <c r="G19" i="3"/>
  <c r="N19" i="3"/>
  <c r="D19" i="3"/>
  <c r="D23" i="3" s="1"/>
  <c r="M19" i="3"/>
  <c r="AR14" i="12" l="1"/>
  <c r="AQ14" i="12" s="1"/>
  <c r="AD23" i="3"/>
  <c r="AF23" i="3" s="1"/>
  <c r="AE23" i="3"/>
  <c r="AH23" i="3"/>
  <c r="AJ23" i="3"/>
  <c r="S25" i="3"/>
  <c r="M26" i="3"/>
  <c r="M27" i="3" s="1"/>
  <c r="Z25" i="3"/>
  <c r="P26" i="3"/>
  <c r="P27" i="3" s="1"/>
  <c r="D25" i="3"/>
  <c r="D29" i="3" s="1"/>
  <c r="Q26" i="3"/>
  <c r="Q27" i="3" s="1"/>
  <c r="P25" i="3"/>
  <c r="P29" i="3" s="1"/>
  <c r="C32" i="3"/>
  <c r="C33" i="3" s="1"/>
  <c r="S26" i="3"/>
  <c r="S27" i="3" s="1"/>
  <c r="N26" i="3"/>
  <c r="N27" i="3" s="1"/>
  <c r="AD26" i="3"/>
  <c r="AD27" i="3" s="1"/>
  <c r="AA26" i="3"/>
  <c r="AA27" i="3" s="1"/>
  <c r="Y25" i="3"/>
  <c r="Y29" i="3" s="1"/>
  <c r="F26" i="3"/>
  <c r="F27" i="3" s="1"/>
  <c r="X25" i="3"/>
  <c r="X29" i="3" s="1"/>
  <c r="AC26" i="3"/>
  <c r="AC27" i="3" s="1"/>
  <c r="V25" i="3"/>
  <c r="V29" i="3" s="1"/>
  <c r="O25" i="3"/>
  <c r="O29" i="3" s="1"/>
  <c r="E25" i="3"/>
  <c r="R25" i="3"/>
  <c r="R29" i="3" s="1"/>
  <c r="AF22" i="3"/>
  <c r="AC25" i="3"/>
  <c r="AC29" i="3" s="1"/>
  <c r="O26" i="3"/>
  <c r="O27" i="3" s="1"/>
  <c r="AG20" i="3"/>
  <c r="A19" i="3"/>
  <c r="K25" i="3"/>
  <c r="K29" i="3" s="1"/>
  <c r="AB25" i="3"/>
  <c r="Z26" i="3"/>
  <c r="Z27" i="3" s="1"/>
  <c r="Q25" i="3"/>
  <c r="Q29" i="3" s="1"/>
  <c r="V26" i="3"/>
  <c r="V27" i="3" s="1"/>
  <c r="W26" i="3"/>
  <c r="W27" i="3" s="1"/>
  <c r="J26" i="3"/>
  <c r="J27" i="3" s="1"/>
  <c r="I26" i="3"/>
  <c r="I27" i="3" s="1"/>
  <c r="D26" i="3"/>
  <c r="D27" i="3" s="1"/>
  <c r="L25" i="3"/>
  <c r="N25" i="3"/>
  <c r="J25" i="3"/>
  <c r="J29" i="3" s="1"/>
  <c r="F25" i="3"/>
  <c r="C31" i="3"/>
  <c r="C35" i="3" s="1"/>
  <c r="AE35" i="3" s="1"/>
  <c r="AJ35" i="3"/>
  <c r="AE20" i="3"/>
  <c r="AR15" i="12"/>
  <c r="AQ15" i="12" s="1"/>
  <c r="AQ10" i="12" s="1" a="1"/>
  <c r="AQ10" i="12" s="1"/>
  <c r="AE22" i="3"/>
  <c r="E26" i="3"/>
  <c r="E27" i="3" s="1"/>
  <c r="X26" i="3"/>
  <c r="X27" i="3" s="1"/>
  <c r="G25" i="3"/>
  <c r="M25" i="3"/>
  <c r="AE19" i="3"/>
  <c r="K26" i="3"/>
  <c r="K27" i="3" s="1"/>
  <c r="T26" i="3"/>
  <c r="T27" i="3" s="1"/>
  <c r="AF35" i="3"/>
  <c r="T25" i="3"/>
  <c r="I25" i="3"/>
  <c r="I29" i="3" s="1"/>
  <c r="AH22" i="3"/>
  <c r="H26" i="3"/>
  <c r="H27" i="3" s="1"/>
  <c r="R26" i="3"/>
  <c r="R27" i="3" s="1"/>
  <c r="Y26" i="3"/>
  <c r="Y27" i="3" s="1"/>
  <c r="AD25" i="3"/>
  <c r="AA25" i="3"/>
  <c r="L26" i="3"/>
  <c r="L27" i="3" s="1"/>
  <c r="AG23" i="3"/>
  <c r="G26" i="3"/>
  <c r="G27" i="3" s="1"/>
  <c r="AB26" i="3"/>
  <c r="AB27" i="3" s="1"/>
  <c r="AL20" i="3"/>
  <c r="AG19" i="3" s="1"/>
  <c r="U25" i="3"/>
  <c r="H25" i="3"/>
  <c r="H29" i="3" s="1"/>
  <c r="U26" i="3"/>
  <c r="U27" i="3" s="1"/>
  <c r="AK35" i="3" l="1"/>
  <c r="AV4" i="12" a="1"/>
  <c r="AV4" i="12" s="1"/>
  <c r="AQ11" i="12" a="1"/>
  <c r="AQ11" i="12" s="1"/>
  <c r="AS10" i="12" a="1"/>
  <c r="AS10" i="12" s="1"/>
  <c r="AU4" i="12" a="1"/>
  <c r="AU4" i="12" s="1"/>
  <c r="AL24" i="3"/>
  <c r="AD29" i="3"/>
  <c r="AU14" i="12"/>
  <c r="A25" i="3"/>
  <c r="AK26" i="3"/>
  <c r="AG26" i="3"/>
  <c r="AH28" i="3"/>
  <c r="AF28" i="3"/>
  <c r="AE25" i="3"/>
  <c r="AG28" i="3"/>
  <c r="AE26" i="3"/>
  <c r="AE28" i="3"/>
  <c r="AE33" i="3"/>
  <c r="AE36" i="3" s="1"/>
  <c r="AK36" i="3"/>
  <c r="AG21" i="3"/>
  <c r="AG24" i="3" s="1"/>
  <c r="AK24" i="3"/>
  <c r="AE21" i="3"/>
  <c r="AE24" i="3" s="1"/>
  <c r="AQ4" i="12" a="1"/>
  <c r="AS4" i="12" a="1"/>
  <c r="AS3" i="12" a="1"/>
  <c r="AT4" i="12" a="1"/>
  <c r="AT3" i="12" a="1"/>
  <c r="AT3" i="12" l="1"/>
  <c r="AS3" i="12"/>
  <c r="AQ4" i="12"/>
  <c r="AT4" i="12"/>
  <c r="AS4" i="12"/>
  <c r="AQ9" i="12"/>
  <c r="AJ29" i="3"/>
  <c r="AL26" i="3"/>
  <c r="AG25" i="3" s="1"/>
  <c r="AF29" i="3"/>
  <c r="AE29" i="3"/>
  <c r="AE6" i="3" s="1"/>
  <c r="AH29" i="3"/>
  <c r="AG29" i="3"/>
  <c r="AG6" i="3" s="1"/>
  <c r="AH21" i="12" a="1"/>
  <c r="AH19" i="12" a="1"/>
  <c r="G26" i="12" a="1"/>
  <c r="AA13" i="12" a="1"/>
  <c r="N27" i="12" a="1"/>
  <c r="AA19" i="12" a="1"/>
  <c r="G24" i="12" a="1"/>
  <c r="AH20" i="12" a="1"/>
  <c r="AA22" i="12" a="1"/>
  <c r="AH26" i="12" a="1"/>
  <c r="G25" i="12" a="1"/>
  <c r="N22" i="12" a="1"/>
  <c r="AA24" i="12" a="1"/>
  <c r="AH22" i="12" a="1"/>
  <c r="N25" i="12" a="1"/>
  <c r="AH16" i="12" a="1"/>
  <c r="AH15" i="12" a="1"/>
  <c r="G23" i="12" a="1"/>
  <c r="AA16" i="12" a="1"/>
  <c r="G18" i="12" a="1"/>
  <c r="G27" i="12" a="1"/>
  <c r="AT2" i="12" a="1"/>
  <c r="AA17" i="12" a="1"/>
  <c r="AA21" i="12" a="1"/>
  <c r="AA14" i="12" a="1"/>
  <c r="N18" i="12" a="1"/>
  <c r="AA25" i="12" a="1"/>
  <c r="G22" i="12" a="1"/>
  <c r="G20" i="12" a="1"/>
  <c r="AA23" i="12" a="1"/>
  <c r="N23" i="12" a="1"/>
  <c r="AA20" i="12" a="1"/>
  <c r="AH25" i="12" a="1"/>
  <c r="AH24" i="12" a="1"/>
  <c r="G21" i="12" a="1"/>
  <c r="AU3" i="12" l="1"/>
  <c r="AU2" i="12"/>
  <c r="AV2" i="12"/>
  <c r="AV3" i="12"/>
  <c r="AH20" i="12"/>
  <c r="AA21" i="12"/>
  <c r="AH19" i="12"/>
  <c r="G26" i="12"/>
  <c r="AA23" i="12"/>
  <c r="AA24" i="12"/>
  <c r="G18" i="12"/>
  <c r="AA16" i="12"/>
  <c r="AH21" i="12"/>
  <c r="N18" i="12"/>
  <c r="AH26" i="12"/>
  <c r="AA14" i="12"/>
  <c r="N23" i="12"/>
  <c r="AH16" i="12"/>
  <c r="AA13" i="12"/>
  <c r="AA17" i="12"/>
  <c r="AA22" i="12"/>
  <c r="AH22" i="12"/>
  <c r="G22" i="12"/>
  <c r="G27" i="12"/>
  <c r="AH25" i="12"/>
  <c r="AA20" i="12"/>
  <c r="G21" i="12"/>
  <c r="AH24" i="12"/>
  <c r="N22" i="12"/>
  <c r="G20" i="12"/>
  <c r="N27" i="12"/>
  <c r="G23" i="12"/>
  <c r="AH15" i="12"/>
  <c r="G24" i="12"/>
  <c r="AA25" i="12"/>
  <c r="N25" i="12"/>
  <c r="AA19" i="12"/>
  <c r="G25" i="12"/>
  <c r="AT2" i="12"/>
  <c r="AL30" i="3"/>
  <c r="AG27" i="3"/>
  <c r="AG30" i="3" s="1"/>
  <c r="AG7" i="3"/>
  <c r="AG8" i="3" s="1"/>
  <c r="AK30" i="3"/>
  <c r="AE27" i="3"/>
  <c r="AE30" i="3" s="1"/>
  <c r="AE7" i="3"/>
  <c r="AE8" i="3" s="1"/>
  <c r="N17" i="12" a="1"/>
  <c r="G13" i="12" a="1"/>
  <c r="N16" i="12" a="1"/>
  <c r="G16" i="12" a="1"/>
  <c r="G15" i="12" a="1"/>
  <c r="G17" i="12" a="1"/>
  <c r="G14" i="12" a="1"/>
  <c r="N13" i="12" a="1"/>
  <c r="N14" i="12" a="1"/>
  <c r="N15" i="12" a="1"/>
  <c r="G12" i="12" a="1"/>
  <c r="N12" i="12" a="1"/>
  <c r="AH13" i="12" a="1"/>
  <c r="AH23" i="12" a="1"/>
  <c r="AA15" i="12" a="1"/>
  <c r="AH12" i="12" a="1"/>
  <c r="AH14" i="12" a="1"/>
  <c r="G19" i="12" a="1"/>
  <c r="N26" i="12" a="1"/>
  <c r="N24" i="12" a="1"/>
  <c r="AA26" i="12" a="1"/>
  <c r="AH17" i="12" a="1"/>
  <c r="AA18" i="12" a="1"/>
  <c r="N19" i="12" a="1"/>
  <c r="AA12" i="12" a="1"/>
  <c r="AH18" i="12" a="1"/>
  <c r="N20" i="12" a="1"/>
  <c r="N21" i="12" a="1"/>
  <c r="N12" i="12" l="1"/>
  <c r="G12" i="12"/>
  <c r="N15" i="12"/>
  <c r="N14" i="12"/>
  <c r="N13" i="12"/>
  <c r="G14" i="12"/>
  <c r="G17" i="12"/>
  <c r="G15" i="12"/>
  <c r="G16" i="12"/>
  <c r="N16" i="12"/>
  <c r="G13" i="12"/>
  <c r="N17" i="12"/>
  <c r="N20" i="12"/>
  <c r="AH18" i="12"/>
  <c r="N19" i="12"/>
  <c r="AH17" i="12"/>
  <c r="N24" i="12"/>
  <c r="G19" i="12"/>
  <c r="AA15" i="12"/>
  <c r="AH13" i="12"/>
  <c r="N21" i="12"/>
  <c r="AA12" i="12"/>
  <c r="AA18" i="12"/>
  <c r="AA26" i="12"/>
  <c r="N26" i="12"/>
  <c r="AH14" i="12"/>
  <c r="AH12" i="12"/>
  <c r="AH23" i="12"/>
  <c r="AA7" i="12" l="1"/>
  <c r="AA8" i="12"/>
  <c r="AA9"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A7" authorId="0" shapeId="0" xr:uid="{1C1B57B4-24EB-45E2-8F89-5FF463D58399}">
      <text>
        <r>
          <rPr>
            <b/>
            <sz val="9"/>
            <color indexed="81"/>
            <rFont val="MS P ゴシック"/>
            <family val="3"/>
            <charset val="128"/>
          </rPr>
          <t>北上市：
対象月の日数から、「準」「正」「夏」「止」「完」を引いた日数</t>
        </r>
      </text>
    </comment>
    <comment ref="AA8" authorId="0" shapeId="0" xr:uid="{00A55044-C620-4C35-90F6-5972B71A8496}">
      <text>
        <r>
          <rPr>
            <b/>
            <sz val="9"/>
            <color indexed="81"/>
            <rFont val="MS P ゴシック"/>
            <family val="3"/>
            <charset val="128"/>
          </rPr>
          <t>北上市：
実施列のうち「休」「代」の日数</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G3" authorId="0" shapeId="0" xr:uid="{23C42E93-D24F-4B1C-A373-954450D20C1E}">
      <text>
        <r>
          <rPr>
            <b/>
            <sz val="9"/>
            <color indexed="81"/>
            <rFont val="MS P ゴシック"/>
            <family val="3"/>
            <charset val="128"/>
          </rPr>
          <t>北上市：
対象周期の日数から、「準」「正」「夏」「止」「完」を引いた日数</t>
        </r>
      </text>
    </comment>
    <comment ref="AG4" authorId="0" shapeId="0" xr:uid="{F0D65C2F-F8CC-41CF-81ED-B68651949803}">
      <text>
        <r>
          <rPr>
            <b/>
            <sz val="9"/>
            <color indexed="81"/>
            <rFont val="MS P ゴシック"/>
            <family val="3"/>
            <charset val="128"/>
          </rPr>
          <t>北上市：
実施列のうち「休」「代」の日数</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<sst xmlns="http://schemas.openxmlformats.org/spreadsheetml/2006/main" count="662" uniqueCount="390">
  <si>
    <t>月</t>
    <rPh sb="0" eb="1">
      <t>ツキ</t>
    </rPh>
    <phoneticPr fontId="1"/>
  </si>
  <si>
    <t>日</t>
    <rPh sb="0" eb="1">
      <t>ヒ</t>
    </rPh>
    <phoneticPr fontId="1"/>
  </si>
  <si>
    <t>曜日</t>
    <rPh sb="0" eb="2">
      <t>ヨウビ</t>
    </rPh>
    <phoneticPr fontId="1"/>
  </si>
  <si>
    <t>行事</t>
    <rPh sb="0" eb="2">
      <t>ギョウジ</t>
    </rPh>
    <phoneticPr fontId="1"/>
  </si>
  <si>
    <t>計画</t>
    <rPh sb="0" eb="2">
      <t>ケイカク</t>
    </rPh>
    <phoneticPr fontId="1"/>
  </si>
  <si>
    <t>実施</t>
    <rPh sb="0" eb="2">
      <t>ジッシ</t>
    </rPh>
    <phoneticPr fontId="1"/>
  </si>
  <si>
    <t>第１週</t>
    <rPh sb="0" eb="1">
      <t>ダイ</t>
    </rPh>
    <rPh sb="2" eb="3">
      <t>シュウ</t>
    </rPh>
    <phoneticPr fontId="1"/>
  </si>
  <si>
    <t>第２週</t>
    <rPh sb="0" eb="1">
      <t>ダイ</t>
    </rPh>
    <rPh sb="2" eb="3">
      <t>シュウ</t>
    </rPh>
    <phoneticPr fontId="1"/>
  </si>
  <si>
    <t>第３週</t>
    <rPh sb="0" eb="1">
      <t>ダイ</t>
    </rPh>
    <rPh sb="2" eb="3">
      <t>シュウ</t>
    </rPh>
    <phoneticPr fontId="1"/>
  </si>
  <si>
    <t>第４週</t>
    <rPh sb="0" eb="1">
      <t>ダイ</t>
    </rPh>
    <rPh sb="2" eb="3">
      <t>シュウ</t>
    </rPh>
    <phoneticPr fontId="1"/>
  </si>
  <si>
    <t>休</t>
    <rPh sb="0" eb="1">
      <t>キュウ</t>
    </rPh>
    <phoneticPr fontId="1"/>
  </si>
  <si>
    <t>：</t>
    <phoneticPr fontId="1"/>
  </si>
  <si>
    <t>）</t>
    <phoneticPr fontId="1"/>
  </si>
  <si>
    <t>（休日取得計画提出）</t>
    <rPh sb="1" eb="3">
      <t>キュウジツ</t>
    </rPh>
    <rPh sb="3" eb="5">
      <t>シュトク</t>
    </rPh>
    <rPh sb="5" eb="7">
      <t>ケイカク</t>
    </rPh>
    <rPh sb="7" eb="9">
      <t>テイシュツ</t>
    </rPh>
    <phoneticPr fontId="1"/>
  </si>
  <si>
    <t>（変更休日取得計画提出）</t>
    <rPh sb="1" eb="3">
      <t>ヘンコウ</t>
    </rPh>
    <rPh sb="3" eb="5">
      <t>キュウジツ</t>
    </rPh>
    <rPh sb="5" eb="7">
      <t>シュトク</t>
    </rPh>
    <rPh sb="7" eb="9">
      <t>ケイカク</t>
    </rPh>
    <rPh sb="9" eb="11">
      <t>テイシュツ</t>
    </rPh>
    <phoneticPr fontId="1"/>
  </si>
  <si>
    <t>（休日取得実施報告）</t>
    <rPh sb="1" eb="3">
      <t>キュウジツ</t>
    </rPh>
    <rPh sb="3" eb="5">
      <t>シュトク</t>
    </rPh>
    <rPh sb="5" eb="7">
      <t>ジッシ</t>
    </rPh>
    <rPh sb="7" eb="9">
      <t>ホウコク</t>
    </rPh>
    <phoneticPr fontId="1"/>
  </si>
  <si>
    <t>休日</t>
    <rPh sb="0" eb="2">
      <t>キュウジツ</t>
    </rPh>
    <phoneticPr fontId="1"/>
  </si>
  <si>
    <t>完</t>
    <rPh sb="0" eb="1">
      <t>カン</t>
    </rPh>
    <phoneticPr fontId="1"/>
  </si>
  <si>
    <t>代</t>
    <rPh sb="0" eb="1">
      <t>ダイ</t>
    </rPh>
    <phoneticPr fontId="1"/>
  </si>
  <si>
    <t>本工事は，週休２日（４週８休）を実施していますが，休日取得計画に変更がありましたので提出します。</t>
    <rPh sb="0" eb="3">
      <t>ホンコウジ</t>
    </rPh>
    <rPh sb="5" eb="7">
      <t>シュウキュウ</t>
    </rPh>
    <rPh sb="8" eb="9">
      <t>ヒ</t>
    </rPh>
    <rPh sb="11" eb="12">
      <t>シュウ</t>
    </rPh>
    <rPh sb="13" eb="14">
      <t>キュウ</t>
    </rPh>
    <rPh sb="16" eb="18">
      <t>ジッシ</t>
    </rPh>
    <rPh sb="25" eb="27">
      <t>キュウジツ</t>
    </rPh>
    <rPh sb="27" eb="29">
      <t>シュトク</t>
    </rPh>
    <rPh sb="29" eb="31">
      <t>ケイカク</t>
    </rPh>
    <rPh sb="32" eb="34">
      <t>ヘンコウ</t>
    </rPh>
    <rPh sb="42" eb="44">
      <t>テイシュツ</t>
    </rPh>
    <phoneticPr fontId="1"/>
  </si>
  <si>
    <t>本工事は，下記のとおり実施しましたので報告します。</t>
    <phoneticPr fontId="1"/>
  </si>
  <si>
    <t>令和●年●月●日</t>
    <rPh sb="0" eb="2">
      <t>レイワ</t>
    </rPh>
    <rPh sb="3" eb="4">
      <t>ネン</t>
    </rPh>
    <rPh sb="5" eb="6">
      <t>ガツ</t>
    </rPh>
    <rPh sb="6" eb="8">
      <t>マルニチ</t>
    </rPh>
    <phoneticPr fontId="1"/>
  </si>
  <si>
    <t>本工事は，週休２日（４週８休）工事につき，下記のとおり休日取得計画を作成しましたので提出します。</t>
    <rPh sb="0" eb="3">
      <t>ホンコウジ</t>
    </rPh>
    <rPh sb="5" eb="7">
      <t>シュウキュウ</t>
    </rPh>
    <rPh sb="8" eb="9">
      <t>ヒ</t>
    </rPh>
    <rPh sb="11" eb="12">
      <t>シュウ</t>
    </rPh>
    <rPh sb="13" eb="14">
      <t>キュウ</t>
    </rPh>
    <rPh sb="15" eb="17">
      <t>コウジ</t>
    </rPh>
    <rPh sb="21" eb="23">
      <t>カキ</t>
    </rPh>
    <rPh sb="27" eb="29">
      <t>キュウジツ</t>
    </rPh>
    <rPh sb="29" eb="31">
      <t>シュトク</t>
    </rPh>
    <rPh sb="31" eb="33">
      <t>ケイカク</t>
    </rPh>
    <rPh sb="34" eb="36">
      <t>サクセイ</t>
    </rPh>
    <rPh sb="42" eb="44">
      <t>テイシュツ</t>
    </rPh>
    <phoneticPr fontId="1"/>
  </si>
  <si>
    <t>←プルダウンから選択すること</t>
    <rPh sb="8" eb="10">
      <t>センタク</t>
    </rPh>
    <phoneticPr fontId="1"/>
  </si>
  <si>
    <t>〇〇舗装工事</t>
    <rPh sb="2" eb="6">
      <t>ホソウコウジ</t>
    </rPh>
    <phoneticPr fontId="1"/>
  </si>
  <si>
    <t>～</t>
    <phoneticPr fontId="1"/>
  </si>
  <si>
    <t>計画</t>
    <rPh sb="0" eb="2">
      <t>ケイカク</t>
    </rPh>
    <phoneticPr fontId="1"/>
  </si>
  <si>
    <t>実施</t>
    <rPh sb="0" eb="2">
      <t>ジッシ</t>
    </rPh>
    <phoneticPr fontId="1"/>
  </si>
  <si>
    <t>（</t>
    <phoneticPr fontId="1"/>
  </si>
  <si>
    <t>工事着手日：</t>
    <rPh sb="0" eb="2">
      <t>コウジ</t>
    </rPh>
    <rPh sb="2" eb="4">
      <t>チャクシュ</t>
    </rPh>
    <rPh sb="4" eb="5">
      <t>ビ</t>
    </rPh>
    <phoneticPr fontId="1"/>
  </si>
  <si>
    <t>施工完了日：</t>
    <rPh sb="0" eb="5">
      <t>セコウカンリョウビ</t>
    </rPh>
    <phoneticPr fontId="1"/>
  </si>
  <si>
    <t>準</t>
    <rPh sb="0" eb="1">
      <t>ジュン</t>
    </rPh>
    <phoneticPr fontId="1"/>
  </si>
  <si>
    <t>正</t>
    <rPh sb="0" eb="1">
      <t>タダ</t>
    </rPh>
    <phoneticPr fontId="1"/>
  </si>
  <si>
    <t>夏</t>
    <rPh sb="0" eb="1">
      <t>ナツ</t>
    </rPh>
    <phoneticPr fontId="1"/>
  </si>
  <si>
    <t>休</t>
    <rPh sb="0" eb="1">
      <t>ヤス</t>
    </rPh>
    <phoneticPr fontId="1"/>
  </si>
  <si>
    <t>止</t>
    <rPh sb="0" eb="1">
      <t>ト</t>
    </rPh>
    <phoneticPr fontId="1"/>
  </si>
  <si>
    <t xml:space="preserve"> 入 力 凡 例</t>
    <rPh sb="1" eb="2">
      <t>ニュウ</t>
    </rPh>
    <rPh sb="3" eb="4">
      <t>チカラ</t>
    </rPh>
    <rPh sb="5" eb="6">
      <t>ボン</t>
    </rPh>
    <rPh sb="7" eb="8">
      <t>レイ</t>
    </rPh>
    <phoneticPr fontId="1"/>
  </si>
  <si>
    <t>休日等</t>
    <phoneticPr fontId="1"/>
  </si>
  <si>
    <t>週休２日の対象外</t>
    <rPh sb="0" eb="2">
      <t>シュウキュウ</t>
    </rPh>
    <rPh sb="3" eb="4">
      <t>ヒ</t>
    </rPh>
    <rPh sb="5" eb="8">
      <t>タイショウガイ</t>
    </rPh>
    <phoneticPr fontId="1"/>
  </si>
  <si>
    <t>正</t>
    <rPh sb="0" eb="1">
      <t>タダシ</t>
    </rPh>
    <phoneticPr fontId="1"/>
  </si>
  <si>
    <r>
      <t xml:space="preserve">年末年始休暇（６日間）
</t>
    </r>
    <r>
      <rPr>
        <sz val="14"/>
        <color theme="1"/>
        <rFont val="HGSｺﾞｼｯｸE"/>
        <family val="3"/>
        <charset val="128"/>
      </rPr>
      <t>※元日（祝日）を含む</t>
    </r>
    <rPh sb="0" eb="2">
      <t>ネンマツ</t>
    </rPh>
    <rPh sb="2" eb="4">
      <t>ネンシ</t>
    </rPh>
    <rPh sb="4" eb="6">
      <t>キュウカ</t>
    </rPh>
    <rPh sb="8" eb="9">
      <t>ヒ</t>
    </rPh>
    <rPh sb="9" eb="10">
      <t>カン</t>
    </rPh>
    <rPh sb="13" eb="15">
      <t>ガンジツ</t>
    </rPh>
    <rPh sb="16" eb="18">
      <t>シュクジツ</t>
    </rPh>
    <rPh sb="20" eb="21">
      <t>フク</t>
    </rPh>
    <phoneticPr fontId="1"/>
  </si>
  <si>
    <t>夏季休暇（３日間）</t>
    <rPh sb="0" eb="4">
      <t>カキキュウカ</t>
    </rPh>
    <rPh sb="6" eb="7">
      <t>ニチ</t>
    </rPh>
    <rPh sb="7" eb="8">
      <t>アイダ</t>
    </rPh>
    <phoneticPr fontId="1"/>
  </si>
  <si>
    <t>代休
降雨、降雪等による現場閉所を含む</t>
    <rPh sb="3" eb="5">
      <t>コウウ</t>
    </rPh>
    <rPh sb="6" eb="8">
      <t>コウセツ</t>
    </rPh>
    <rPh sb="8" eb="9">
      <t>トウ</t>
    </rPh>
    <rPh sb="12" eb="16">
      <t>ゲンバヘイショ</t>
    </rPh>
    <rPh sb="17" eb="18">
      <t>フク</t>
    </rPh>
    <phoneticPr fontId="1"/>
  </si>
  <si>
    <t>工場製作のみを実施している期間，
工事の全面中止を行っている期間等</t>
    <phoneticPr fontId="1"/>
  </si>
  <si>
    <t>準備</t>
    <rPh sb="0" eb="2">
      <t>ジュンビ</t>
    </rPh>
    <phoneticPr fontId="1"/>
  </si>
  <si>
    <t>工場製作のみを実施している期間，
工事の全面中止を行っている期間等</t>
  </si>
  <si>
    <t>代休</t>
    <rPh sb="0" eb="2">
      <t>ダイキュウ</t>
    </rPh>
    <phoneticPr fontId="1"/>
  </si>
  <si>
    <t>年末年始休暇</t>
    <rPh sb="0" eb="6">
      <t>ネンマツネンシキュウカ</t>
    </rPh>
    <phoneticPr fontId="1"/>
  </si>
  <si>
    <t>※元日（祝日）を含む</t>
    <rPh sb="1" eb="3">
      <t>ガンジツ</t>
    </rPh>
    <rPh sb="4" eb="6">
      <t>シュクジツ</t>
    </rPh>
    <rPh sb="8" eb="9">
      <t>フク</t>
    </rPh>
    <phoneticPr fontId="1"/>
  </si>
  <si>
    <t>夏季休暇</t>
    <rPh sb="0" eb="4">
      <t>カキキュウカ</t>
    </rPh>
    <phoneticPr fontId="1"/>
  </si>
  <si>
    <t>３日間</t>
    <rPh sb="1" eb="2">
      <t>ニチ</t>
    </rPh>
    <rPh sb="2" eb="3">
      <t>アイダ</t>
    </rPh>
    <phoneticPr fontId="1"/>
  </si>
  <si>
    <t>工事完成済</t>
    <rPh sb="0" eb="4">
      <t>コウジカンセイ</t>
    </rPh>
    <rPh sb="4" eb="5">
      <t>ズ</t>
    </rPh>
    <phoneticPr fontId="1"/>
  </si>
  <si>
    <t>現場停止</t>
    <rPh sb="0" eb="4">
      <t>ゲンバテイシ</t>
    </rPh>
    <phoneticPr fontId="1"/>
  </si>
  <si>
    <t>工 事 名：</t>
    <rPh sb="0" eb="1">
      <t>コウ</t>
    </rPh>
    <rPh sb="2" eb="3">
      <t>コト</t>
    </rPh>
    <rPh sb="4" eb="5">
      <t>メイ</t>
    </rPh>
    <phoneticPr fontId="1"/>
  </si>
  <si>
    <t>対象日数</t>
    <rPh sb="0" eb="3">
      <t>タイショウニッスウ</t>
    </rPh>
    <phoneticPr fontId="1"/>
  </si>
  <si>
    <t>現場閉所率</t>
    <rPh sb="0" eb="2">
      <t>ゲンバ</t>
    </rPh>
    <rPh sb="2" eb="4">
      <t>ヘイショ</t>
    </rPh>
    <rPh sb="4" eb="5">
      <t>リツ</t>
    </rPh>
    <phoneticPr fontId="1"/>
  </si>
  <si>
    <t>休暇取得日数</t>
    <rPh sb="0" eb="1">
      <t>キュウカ</t>
    </rPh>
    <rPh sb="2" eb="4">
      <t>シュトク</t>
    </rPh>
    <rPh sb="4" eb="6">
      <t>ニッスウ</t>
    </rPh>
    <phoneticPr fontId="1"/>
  </si>
  <si>
    <t>現場完成済み</t>
    <rPh sb="0" eb="2">
      <t>ゲンバ</t>
    </rPh>
    <rPh sb="2" eb="4">
      <t>カンセイ</t>
    </rPh>
    <rPh sb="4" eb="5">
      <t>ズ</t>
    </rPh>
    <phoneticPr fontId="1"/>
  </si>
  <si>
    <t>週休２日
の対象外</t>
    <phoneticPr fontId="1"/>
  </si>
  <si>
    <t>休日等</t>
    <phoneticPr fontId="1"/>
  </si>
  <si>
    <t>〇 週休２日工事の実施</t>
    <rPh sb="2" eb="4">
      <t>シュウキュウ</t>
    </rPh>
    <rPh sb="5" eb="6">
      <t>ヒ</t>
    </rPh>
    <rPh sb="6" eb="8">
      <t>コウジ</t>
    </rPh>
    <rPh sb="9" eb="11">
      <t>ジッシ</t>
    </rPh>
    <phoneticPr fontId="1"/>
  </si>
  <si>
    <t>・残工事期間の計画セルを修正してください。</t>
    <phoneticPr fontId="1"/>
  </si>
  <si>
    <t>現場完了済</t>
    <rPh sb="0" eb="2">
      <t>ゲンバ</t>
    </rPh>
    <rPh sb="2" eb="4">
      <t>カンリョウ</t>
    </rPh>
    <rPh sb="4" eb="5">
      <t>ズ</t>
    </rPh>
    <phoneticPr fontId="1"/>
  </si>
  <si>
    <t>施工完了日以降</t>
    <rPh sb="0" eb="2">
      <t>セコウ</t>
    </rPh>
    <rPh sb="2" eb="5">
      <t>カンリョウヒ</t>
    </rPh>
    <rPh sb="5" eb="7">
      <t>イコウ</t>
    </rPh>
    <phoneticPr fontId="1"/>
  </si>
  <si>
    <t>一時中止期間等</t>
    <rPh sb="0" eb="2">
      <t>イチジ</t>
    </rPh>
    <rPh sb="2" eb="4">
      <t>チュウシ</t>
    </rPh>
    <rPh sb="4" eb="6">
      <t>キカン</t>
    </rPh>
    <rPh sb="6" eb="7">
      <t>トウ</t>
    </rPh>
    <phoneticPr fontId="1"/>
  </si>
  <si>
    <t>正</t>
    <rPh sb="0" eb="1">
      <t>セイ</t>
    </rPh>
    <phoneticPr fontId="1"/>
  </si>
  <si>
    <t>　</t>
    <phoneticPr fontId="1"/>
  </si>
  <si>
    <t>「工事名」及び「工期」を入力</t>
    <rPh sb="1" eb="3">
      <t>コウジ</t>
    </rPh>
    <rPh sb="3" eb="4">
      <t>メイ</t>
    </rPh>
    <rPh sb="5" eb="6">
      <t>オヨ</t>
    </rPh>
    <rPh sb="8" eb="10">
      <t>コウキ</t>
    </rPh>
    <rPh sb="12" eb="14">
      <t>ニュウリョク</t>
    </rPh>
    <phoneticPr fontId="1"/>
  </si>
  <si>
    <t>（ http://www.city.kitakami.iwate.jp/life/soshikikarasagasu/zaiseika/keiyakukensa/3_1/1/24725.html）</t>
    <phoneticPr fontId="1"/>
  </si>
  <si>
    <t>（ 北上市ホーム ＞ くらし・市政トップ ＞ 組織から探す ＞ 財政課 ＞ 契約検査係 ＞ 入札・契約 ＞おしらせ＞ 北上市週休２日工事の実施について ）</t>
    <rPh sb="2" eb="5">
      <t>キタカミシ</t>
    </rPh>
    <rPh sb="15" eb="17">
      <t>シセイ</t>
    </rPh>
    <rPh sb="23" eb="25">
      <t>ソシキ</t>
    </rPh>
    <rPh sb="27" eb="28">
      <t>サガ</t>
    </rPh>
    <rPh sb="32" eb="35">
      <t>ザイセイカ</t>
    </rPh>
    <rPh sb="38" eb="40">
      <t>ケイヤク</t>
    </rPh>
    <rPh sb="40" eb="42">
      <t>ケンサ</t>
    </rPh>
    <rPh sb="42" eb="43">
      <t>カカ</t>
    </rPh>
    <rPh sb="46" eb="48">
      <t>ニュウサツ</t>
    </rPh>
    <rPh sb="49" eb="51">
      <t>ケイヤク</t>
    </rPh>
    <rPh sb="59" eb="62">
      <t>キタカミシ</t>
    </rPh>
    <rPh sb="62" eb="64">
      <t>シュウキュウ</t>
    </rPh>
    <rPh sb="65" eb="66">
      <t>ヒ</t>
    </rPh>
    <rPh sb="66" eb="68">
      <t>コウジ</t>
    </rPh>
    <rPh sb="69" eb="71">
      <t>ジッシ</t>
    </rPh>
    <phoneticPr fontId="1"/>
  </si>
  <si>
    <t>・掲載場所は下記のとおりです。</t>
    <rPh sb="1" eb="3">
      <t>ケイサイ</t>
    </rPh>
    <rPh sb="3" eb="5">
      <t>バショ</t>
    </rPh>
    <rPh sb="6" eb="8">
      <t>カキ</t>
    </rPh>
    <phoneticPr fontId="1"/>
  </si>
  <si>
    <t>〇 はじめに　北上市ホームページに掲載の「北上市週休２日工事実施要領」を確認してください</t>
    <phoneticPr fontId="1"/>
  </si>
  <si>
    <t>〇「休日取得計画表兼実施報告書」の作成（入力）方法</t>
    <phoneticPr fontId="1"/>
  </si>
  <si>
    <t>現場閉所日</t>
    <rPh sb="0" eb="5">
      <t>ゲンバヘイショビ</t>
    </rPh>
    <phoneticPr fontId="1"/>
  </si>
  <si>
    <t>あらかじめ指定した休工日。※詳細は実施要領の「用語の定義」を参照</t>
    <rPh sb="5" eb="7">
      <t>シテイ</t>
    </rPh>
    <rPh sb="9" eb="11">
      <t>キュウコウ</t>
    </rPh>
    <rPh sb="11" eb="12">
      <t>ヒ</t>
    </rPh>
    <rPh sb="14" eb="16">
      <t>ショウサイ</t>
    </rPh>
    <rPh sb="17" eb="19">
      <t>ジッシ</t>
    </rPh>
    <rPh sb="19" eb="21">
      <t>ヨウリョウ</t>
    </rPh>
    <rPh sb="23" eb="25">
      <t>ヨウゴ</t>
    </rPh>
    <rPh sb="26" eb="28">
      <t>テイギ</t>
    </rPh>
    <rPh sb="30" eb="32">
      <t>サンショウ</t>
    </rPh>
    <phoneticPr fontId="1"/>
  </si>
  <si>
    <t>本工事や仮設工事の着手までの期間</t>
    <rPh sb="0" eb="3">
      <t>ホンコウジ</t>
    </rPh>
    <rPh sb="4" eb="8">
      <t>カセツコウジ</t>
    </rPh>
    <rPh sb="9" eb="11">
      <t>チャクシュ</t>
    </rPh>
    <rPh sb="14" eb="16">
      <t>キカン</t>
    </rPh>
    <phoneticPr fontId="1"/>
  </si>
  <si>
    <t>準備期間</t>
    <rPh sb="0" eb="2">
      <t>ジュンビ</t>
    </rPh>
    <rPh sb="2" eb="4">
      <t>キカン</t>
    </rPh>
    <phoneticPr fontId="1"/>
  </si>
  <si>
    <t>年末年始休暇</t>
    <rPh sb="0" eb="4">
      <t>ネンマツネンシ</t>
    </rPh>
    <rPh sb="4" eb="6">
      <t>キュウカ</t>
    </rPh>
    <phoneticPr fontId="1"/>
  </si>
  <si>
    <t>・現場施工完了（予定）日の翌日以降の計画セル及び実施セルに「完」の表記をしてください。</t>
    <rPh sb="1" eb="3">
      <t>ゲンバ</t>
    </rPh>
    <rPh sb="3" eb="5">
      <t>セコウ</t>
    </rPh>
    <rPh sb="8" eb="10">
      <t>ヨテイ</t>
    </rPh>
    <rPh sb="18" eb="20">
      <t>ケイカク</t>
    </rPh>
    <rPh sb="22" eb="23">
      <t>オヨ</t>
    </rPh>
    <rPh sb="24" eb="26">
      <t>ジッシ</t>
    </rPh>
    <rPh sb="30" eb="31">
      <t>カン</t>
    </rPh>
    <rPh sb="33" eb="35">
      <t>ヒョウキ</t>
    </rPh>
    <phoneticPr fontId="1"/>
  </si>
  <si>
    <t>①</t>
    <phoneticPr fontId="1"/>
  </si>
  <si>
    <t>②</t>
    <phoneticPr fontId="1"/>
  </si>
  <si>
    <t>③</t>
    <phoneticPr fontId="1"/>
  </si>
  <si>
    <t>④</t>
    <phoneticPr fontId="1"/>
  </si>
  <si>
    <r>
      <rPr>
        <b/>
        <sz val="22"/>
        <color theme="1"/>
        <rFont val="Yu Gothic UI Semilight"/>
        <family val="3"/>
        <charset val="128"/>
      </rPr>
      <t>「現場施工完了日」に完了（予定）日を入力（後片付け期間を除く）</t>
    </r>
    <r>
      <rPr>
        <sz val="22"/>
        <color theme="1"/>
        <rFont val="Yu Gothic UI Semilight"/>
        <family val="3"/>
        <charset val="128"/>
      </rPr>
      <t>　</t>
    </r>
    <rPh sb="1" eb="3">
      <t>ゲンバ</t>
    </rPh>
    <rPh sb="3" eb="5">
      <t>セコウ</t>
    </rPh>
    <rPh sb="5" eb="8">
      <t>カンリョウビ</t>
    </rPh>
    <rPh sb="8" eb="9">
      <t>チャクビ</t>
    </rPh>
    <rPh sb="10" eb="12">
      <t>カンリョウ</t>
    </rPh>
    <rPh sb="13" eb="15">
      <t>ヨテイ</t>
    </rPh>
    <rPh sb="16" eb="17">
      <t>ヒ</t>
    </rPh>
    <rPh sb="17" eb="18">
      <t>チャクビ</t>
    </rPh>
    <rPh sb="18" eb="20">
      <t>ニュウリョク</t>
    </rPh>
    <rPh sb="21" eb="24">
      <t>アトカタヅ</t>
    </rPh>
    <rPh sb="25" eb="27">
      <t>キカン</t>
    </rPh>
    <rPh sb="28" eb="29">
      <t>ノゾ</t>
    </rPh>
    <phoneticPr fontId="1"/>
  </si>
  <si>
    <t>・着手日までの計画セル及び実施セルには「準」の表記をしてください。</t>
    <rPh sb="1" eb="4">
      <t>チャクシュビ</t>
    </rPh>
    <rPh sb="7" eb="9">
      <t>ケイカク</t>
    </rPh>
    <rPh sb="11" eb="12">
      <t>オヨ</t>
    </rPh>
    <rPh sb="13" eb="15">
      <t>ジッシ</t>
    </rPh>
    <rPh sb="20" eb="21">
      <t>ジュン</t>
    </rPh>
    <rPh sb="23" eb="25">
      <t>ヒョウキ</t>
    </rPh>
    <phoneticPr fontId="1"/>
  </si>
  <si>
    <t>⑤</t>
    <phoneticPr fontId="1"/>
  </si>
  <si>
    <t>12月29日から１月３日の６日間。元旦（祝日）を含む</t>
    <rPh sb="2" eb="3">
      <t>ツキ</t>
    </rPh>
    <rPh sb="5" eb="6">
      <t>ニチ</t>
    </rPh>
    <rPh sb="9" eb="10">
      <t>ツキ</t>
    </rPh>
    <rPh sb="11" eb="12">
      <t>ヒ</t>
    </rPh>
    <rPh sb="14" eb="15">
      <t>ヒ</t>
    </rPh>
    <rPh sb="15" eb="16">
      <t>カン</t>
    </rPh>
    <rPh sb="17" eb="19">
      <t>ガンタン</t>
    </rPh>
    <rPh sb="20" eb="22">
      <t>シュクジツ</t>
    </rPh>
    <rPh sb="24" eb="25">
      <t>フク</t>
    </rPh>
    <phoneticPr fontId="1"/>
  </si>
  <si>
    <t>工場製作のみを実施している期間、工事の全面中止を行っている期間等</t>
    <rPh sb="0" eb="2">
      <t>コウジョウ</t>
    </rPh>
    <rPh sb="2" eb="4">
      <t>セイサク</t>
    </rPh>
    <rPh sb="7" eb="9">
      <t>ジッシ</t>
    </rPh>
    <rPh sb="13" eb="15">
      <t>キカン</t>
    </rPh>
    <rPh sb="16" eb="18">
      <t>コウジ</t>
    </rPh>
    <rPh sb="19" eb="21">
      <t>ゼンメン</t>
    </rPh>
    <rPh sb="21" eb="23">
      <t>チュウシ</t>
    </rPh>
    <rPh sb="24" eb="25">
      <t>オコナ</t>
    </rPh>
    <rPh sb="29" eb="31">
      <t>キカン</t>
    </rPh>
    <rPh sb="31" eb="32">
      <t>トウ</t>
    </rPh>
    <phoneticPr fontId="1"/>
  </si>
  <si>
    <t>夏季休暇３日間。日付の指定は任意</t>
    <rPh sb="0" eb="4">
      <t>カキキュウカ</t>
    </rPh>
    <rPh sb="5" eb="7">
      <t>ニチカン</t>
    </rPh>
    <rPh sb="8" eb="10">
      <t>ヒヅケ</t>
    </rPh>
    <rPh sb="11" eb="13">
      <t>シテイ</t>
    </rPh>
    <rPh sb="14" eb="16">
      <t>ニンイ</t>
    </rPh>
    <phoneticPr fontId="1"/>
  </si>
  <si>
    <t>⑥</t>
    <phoneticPr fontId="1"/>
  </si>
  <si>
    <t>⑦</t>
    <phoneticPr fontId="1"/>
  </si>
  <si>
    <t>⑧</t>
    <phoneticPr fontId="1"/>
  </si>
  <si>
    <t>休日取得計画表兼実施報告書作成マニュアル</t>
    <rPh sb="13" eb="15">
      <t>サクセイ</t>
    </rPh>
    <phoneticPr fontId="1"/>
  </si>
  <si>
    <t>休日取得計画が変更となる場合は、改めて取組み内容に沿った休日取得計画を行う</t>
    <rPh sb="0" eb="2">
      <t>キュウジツ</t>
    </rPh>
    <rPh sb="2" eb="4">
      <t>シュトク</t>
    </rPh>
    <rPh sb="4" eb="6">
      <t>ケイカク</t>
    </rPh>
    <rPh sb="7" eb="9">
      <t>ヘンコウ</t>
    </rPh>
    <rPh sb="12" eb="14">
      <t>バアイ</t>
    </rPh>
    <rPh sb="16" eb="17">
      <t>アラタ</t>
    </rPh>
    <phoneticPr fontId="1"/>
  </si>
  <si>
    <t>⑩</t>
    <phoneticPr fontId="1"/>
  </si>
  <si>
    <t>⑪</t>
    <phoneticPr fontId="1"/>
  </si>
  <si>
    <t>⑫</t>
    <phoneticPr fontId="1"/>
  </si>
  <si>
    <t>⑬</t>
    <phoneticPr fontId="1"/>
  </si>
  <si>
    <t>「変更休暇取得計画表」を工事打合簿に添付し、監督職員に報告する</t>
    <rPh sb="9" eb="10">
      <t>ヒョウ</t>
    </rPh>
    <rPh sb="12" eb="14">
      <t>コウジ</t>
    </rPh>
    <rPh sb="14" eb="15">
      <t>ダ</t>
    </rPh>
    <rPh sb="15" eb="16">
      <t>ゴウ</t>
    </rPh>
    <rPh sb="16" eb="17">
      <t>ボ</t>
    </rPh>
    <rPh sb="18" eb="20">
      <t>テンプ</t>
    </rPh>
    <rPh sb="22" eb="24">
      <t>カントク</t>
    </rPh>
    <rPh sb="24" eb="26">
      <t>ショクイン</t>
    </rPh>
    <rPh sb="27" eb="29">
      <t>ホウコク</t>
    </rPh>
    <phoneticPr fontId="1"/>
  </si>
  <si>
    <t>⑭</t>
    <phoneticPr fontId="1"/>
  </si>
  <si>
    <t>⑮</t>
    <phoneticPr fontId="1"/>
  </si>
  <si>
    <t>⑯</t>
    <phoneticPr fontId="1"/>
  </si>
  <si>
    <t>⑰</t>
    <phoneticPr fontId="1"/>
  </si>
  <si>
    <t>着手日から現場施工完了日までの期間（以下、工事期間）において、取組み内容に沿った休日取得計画を行う</t>
    <rPh sb="0" eb="2">
      <t>チャクシュ</t>
    </rPh>
    <rPh sb="2" eb="3">
      <t>ビ</t>
    </rPh>
    <rPh sb="5" eb="7">
      <t>ゲンバ</t>
    </rPh>
    <rPh sb="7" eb="9">
      <t>セコウ</t>
    </rPh>
    <rPh sb="9" eb="12">
      <t>カンリョウビ</t>
    </rPh>
    <rPh sb="15" eb="17">
      <t>キカン</t>
    </rPh>
    <rPh sb="18" eb="20">
      <t>イカ</t>
    </rPh>
    <rPh sb="21" eb="23">
      <t>コウジ</t>
    </rPh>
    <rPh sb="23" eb="25">
      <t>キカン</t>
    </rPh>
    <rPh sb="31" eb="33">
      <t>トリク</t>
    </rPh>
    <rPh sb="34" eb="36">
      <t>ナイヨウ</t>
    </rPh>
    <rPh sb="37" eb="38">
      <t>ソ</t>
    </rPh>
    <rPh sb="40" eb="42">
      <t>キュウジツ</t>
    </rPh>
    <rPh sb="42" eb="44">
      <t>シュトク</t>
    </rPh>
    <rPh sb="44" eb="46">
      <t>ケイカク</t>
    </rPh>
    <rPh sb="47" eb="48">
      <t>オコナ</t>
    </rPh>
    <phoneticPr fontId="1"/>
  </si>
  <si>
    <t>・以下の種別を確認し、計画セルにプルダウンで選択もしくは直接入力してください。</t>
    <rPh sb="1" eb="3">
      <t>イカ</t>
    </rPh>
    <rPh sb="4" eb="6">
      <t>シュベツ</t>
    </rPh>
    <rPh sb="7" eb="9">
      <t>カクニン</t>
    </rPh>
    <phoneticPr fontId="1"/>
  </si>
  <si>
    <t>やむを得ない事態が発生し、予定していた休日が取得できない場合は代休を取得する</t>
    <rPh sb="3" eb="4">
      <t>エ</t>
    </rPh>
    <rPh sb="6" eb="8">
      <t>ジタイ</t>
    </rPh>
    <rPh sb="9" eb="11">
      <t>ハッセイ</t>
    </rPh>
    <rPh sb="13" eb="15">
      <t>ヨテイ</t>
    </rPh>
    <rPh sb="19" eb="21">
      <t>キュウジツ</t>
    </rPh>
    <rPh sb="22" eb="24">
      <t>シュトク</t>
    </rPh>
    <rPh sb="28" eb="30">
      <t>バアイ</t>
    </rPh>
    <rPh sb="31" eb="33">
      <t>ダイキュウ</t>
    </rPh>
    <rPh sb="34" eb="36">
      <t>シュトク</t>
    </rPh>
    <phoneticPr fontId="1"/>
  </si>
  <si>
    <t>・予定していた休日の計画セルは「休」のままとし、代休を取得した日の実施セルに「代」を入力してください。</t>
    <rPh sb="1" eb="3">
      <t>ヨテイ</t>
    </rPh>
    <rPh sb="7" eb="9">
      <t>キュウジツ</t>
    </rPh>
    <rPh sb="10" eb="12">
      <t>ケイカク</t>
    </rPh>
    <rPh sb="16" eb="17">
      <t>キュウ</t>
    </rPh>
    <rPh sb="24" eb="26">
      <t>ダイキュウ</t>
    </rPh>
    <rPh sb="27" eb="29">
      <t>シュトク</t>
    </rPh>
    <rPh sb="31" eb="32">
      <t>ヒ</t>
    </rPh>
    <rPh sb="33" eb="35">
      <t>ジッシ</t>
    </rPh>
    <rPh sb="39" eb="40">
      <t>ダイ</t>
    </rPh>
    <rPh sb="42" eb="44">
      <t>ニュウリョク</t>
    </rPh>
    <phoneticPr fontId="1"/>
  </si>
  <si>
    <t xml:space="preserve"> ・報告月を入力すると、休日取得計画表から自動的に情報</t>
    <rPh sb="2" eb="5">
      <t>ホウコクヅキ</t>
    </rPh>
    <rPh sb="6" eb="8">
      <t>ニュウリョク</t>
    </rPh>
    <rPh sb="12" eb="18">
      <t>キュウジツシュトクケイカク</t>
    </rPh>
    <rPh sb="18" eb="19">
      <t>ヒョウ</t>
    </rPh>
    <rPh sb="21" eb="23">
      <t>ジドウ</t>
    </rPh>
    <rPh sb="23" eb="24">
      <t>テキ</t>
    </rPh>
    <rPh sb="25" eb="27">
      <t>ジョウホウ</t>
    </rPh>
    <phoneticPr fontId="1"/>
  </si>
  <si>
    <t>を転記します。</t>
    <rPh sb="1" eb="3">
      <t>テンキ</t>
    </rPh>
    <phoneticPr fontId="1"/>
  </si>
  <si>
    <t>・未達成の場合は変更契約します。工事完成届を提出する20日前（土日等を含む）までに監督職員へ提出してください。</t>
    <rPh sb="1" eb="4">
      <t>ミタッセイ</t>
    </rPh>
    <rPh sb="5" eb="7">
      <t>バアイ</t>
    </rPh>
    <rPh sb="8" eb="12">
      <t>ヘンコウケイヤク</t>
    </rPh>
    <rPh sb="16" eb="18">
      <t>コウジ</t>
    </rPh>
    <rPh sb="18" eb="20">
      <t>カンセイ</t>
    </rPh>
    <rPh sb="20" eb="21">
      <t>トドケ</t>
    </rPh>
    <rPh sb="22" eb="24">
      <t>テイシュツ</t>
    </rPh>
    <rPh sb="28" eb="30">
      <t>ニチマエ</t>
    </rPh>
    <rPh sb="31" eb="34">
      <t>ドニチトウ</t>
    </rPh>
    <rPh sb="35" eb="36">
      <t>フク</t>
    </rPh>
    <rPh sb="41" eb="43">
      <t>カントク</t>
    </rPh>
    <rPh sb="43" eb="45">
      <t>ショクイン</t>
    </rPh>
    <rPh sb="46" eb="48">
      <t>テイシュツ</t>
    </rPh>
    <phoneticPr fontId="1"/>
  </si>
  <si>
    <t>・20日前提出と完成時の実施状況が異なる場合は、完成時に改めて監督職員へ提出してください。</t>
    <rPh sb="3" eb="5">
      <t>ニチマエ</t>
    </rPh>
    <rPh sb="5" eb="7">
      <t>テイシュツ</t>
    </rPh>
    <rPh sb="8" eb="11">
      <t>カンセイジ</t>
    </rPh>
    <rPh sb="12" eb="16">
      <t>ジッシジョウキョウ</t>
    </rPh>
    <rPh sb="17" eb="18">
      <t>コト</t>
    </rPh>
    <rPh sb="20" eb="22">
      <t>バアイ</t>
    </rPh>
    <rPh sb="24" eb="27">
      <t>カンセイジ</t>
    </rPh>
    <rPh sb="28" eb="29">
      <t>アラタ</t>
    </rPh>
    <phoneticPr fontId="1"/>
  </si>
  <si>
    <t>「休日取得計画表兼実施報告書（休日取得実施報告）」を工事打合せ簿に添付し、監督職員へ報告する</t>
    <rPh sb="15" eb="17">
      <t>キュウジツ</t>
    </rPh>
    <rPh sb="17" eb="19">
      <t>シュトク</t>
    </rPh>
    <rPh sb="19" eb="21">
      <t>ジッシ</t>
    </rPh>
    <rPh sb="21" eb="23">
      <t>ホウコク</t>
    </rPh>
    <rPh sb="23" eb="24">
      <t>ヘンブン</t>
    </rPh>
    <rPh sb="26" eb="30">
      <t>コウジウチアワ</t>
    </rPh>
    <rPh sb="31" eb="32">
      <t>ボ</t>
    </rPh>
    <rPh sb="33" eb="35">
      <t>テンプ</t>
    </rPh>
    <rPh sb="37" eb="39">
      <t>カントク</t>
    </rPh>
    <rPh sb="39" eb="41">
      <t>ショクイン</t>
    </rPh>
    <rPh sb="42" eb="44">
      <t>ホウコク</t>
    </rPh>
    <phoneticPr fontId="1"/>
  </si>
  <si>
    <t>現場閉所率</t>
    <rPh sb="0" eb="5">
      <t>ゲンバヘイショリツ</t>
    </rPh>
    <phoneticPr fontId="1"/>
  </si>
  <si>
    <t>土日数</t>
    <rPh sb="0" eb="3">
      <t>ドニチスウ</t>
    </rPh>
    <phoneticPr fontId="1"/>
  </si>
  <si>
    <t>着手日</t>
    <rPh sb="0" eb="3">
      <t>チャクシュビ</t>
    </rPh>
    <phoneticPr fontId="1"/>
  </si>
  <si>
    <t>着手日直近月曜日</t>
    <rPh sb="0" eb="3">
      <t>チャクシュビ</t>
    </rPh>
    <rPh sb="3" eb="5">
      <t>チョッキン</t>
    </rPh>
    <rPh sb="5" eb="8">
      <t>ゲツヨウビ</t>
    </rPh>
    <phoneticPr fontId="1"/>
  </si>
  <si>
    <t>同一月判定</t>
    <rPh sb="0" eb="2">
      <t>ドウイツ</t>
    </rPh>
    <rPh sb="2" eb="3">
      <t>ツキ</t>
    </rPh>
    <rPh sb="3" eb="5">
      <t>ハンテイ</t>
    </rPh>
    <phoneticPr fontId="1"/>
  </si>
  <si>
    <t>着手日直近月曜日最終日</t>
    <rPh sb="0" eb="3">
      <t>チャクシュビ</t>
    </rPh>
    <rPh sb="3" eb="8">
      <t>チョッキンゲツヨウビ</t>
    </rPh>
    <rPh sb="8" eb="11">
      <t>サイシュウヒ</t>
    </rPh>
    <phoneticPr fontId="1"/>
  </si>
  <si>
    <t>施工完了日</t>
    <rPh sb="0" eb="5">
      <t>セコウカンリョウビ</t>
    </rPh>
    <phoneticPr fontId="1"/>
  </si>
  <si>
    <t>施行開始日</t>
    <rPh sb="0" eb="5">
      <t>セコウカイシビ</t>
    </rPh>
    <phoneticPr fontId="1"/>
  </si>
  <si>
    <t>当該周期終了日</t>
    <rPh sb="0" eb="4">
      <t>トウガイシュウキ</t>
    </rPh>
    <rPh sb="4" eb="7">
      <t>シュウリョウビ</t>
    </rPh>
    <phoneticPr fontId="1"/>
  </si>
  <si>
    <t>第１期</t>
    <rPh sb="0" eb="1">
      <t>ダイ</t>
    </rPh>
    <rPh sb="2" eb="3">
      <t>キ</t>
    </rPh>
    <phoneticPr fontId="1"/>
  </si>
  <si>
    <t>対象期間</t>
    <rPh sb="0" eb="4">
      <t>タイショウキカン</t>
    </rPh>
    <phoneticPr fontId="1"/>
  </si>
  <si>
    <t>閉所予定日数</t>
    <rPh sb="0" eb="2">
      <t>ヘイショ</t>
    </rPh>
    <rPh sb="2" eb="4">
      <t>ヨテイ</t>
    </rPh>
    <rPh sb="4" eb="6">
      <t>ニッスウ</t>
    </rPh>
    <phoneticPr fontId="1"/>
  </si>
  <si>
    <t>閉所実施日数</t>
    <rPh sb="0" eb="2">
      <t>ヘイショ</t>
    </rPh>
    <rPh sb="2" eb="4">
      <t>ジッシ</t>
    </rPh>
    <rPh sb="4" eb="6">
      <t>ニッスウ</t>
    </rPh>
    <phoneticPr fontId="1"/>
  </si>
  <si>
    <t>完全週休二日</t>
    <rPh sb="0" eb="2">
      <t>カンゼン</t>
    </rPh>
    <rPh sb="2" eb="6">
      <t>シュウキュウニニチ</t>
    </rPh>
    <phoneticPr fontId="1"/>
  </si>
  <si>
    <t>（選択のこと）</t>
    <rPh sb="1" eb="3">
      <t>センタク</t>
    </rPh>
    <phoneticPr fontId="1"/>
  </si>
  <si>
    <t>達成</t>
    <rPh sb="0" eb="2">
      <t>タッセイ</t>
    </rPh>
    <phoneticPr fontId="1"/>
  </si>
  <si>
    <t>未達成</t>
    <rPh sb="0" eb="3">
      <t>ミタッセイ</t>
    </rPh>
    <phoneticPr fontId="1"/>
  </si>
  <si>
    <t>対　象　日　数</t>
    <rPh sb="0" eb="1">
      <t>タイ</t>
    </rPh>
    <rPh sb="2" eb="3">
      <t>ゾウ</t>
    </rPh>
    <rPh sb="4" eb="5">
      <t>ヒ</t>
    </rPh>
    <rPh sb="6" eb="7">
      <t>スウ</t>
    </rPh>
    <phoneticPr fontId="1"/>
  </si>
  <si>
    <t>閉　所　日　数</t>
    <rPh sb="0" eb="1">
      <t>ヘイ</t>
    </rPh>
    <rPh sb="2" eb="3">
      <t>ショ</t>
    </rPh>
    <rPh sb="4" eb="5">
      <t>ヒ</t>
    </rPh>
    <rPh sb="6" eb="7">
      <t>スウ</t>
    </rPh>
    <phoneticPr fontId="1"/>
  </si>
  <si>
    <t>現 場 閉 所 率</t>
    <rPh sb="0" eb="1">
      <t>ゲン</t>
    </rPh>
    <rPh sb="2" eb="3">
      <t>バ</t>
    </rPh>
    <rPh sb="4" eb="5">
      <t>ヘイ</t>
    </rPh>
    <rPh sb="6" eb="7">
      <t>ショ</t>
    </rPh>
    <rPh sb="8" eb="9">
      <t>リツ</t>
    </rPh>
    <phoneticPr fontId="1"/>
  </si>
  <si>
    <t>休日取得計画表兼実施報告書（完全週休２日）</t>
    <rPh sb="0" eb="2">
      <t>キュウジツ</t>
    </rPh>
    <rPh sb="2" eb="4">
      <t>シュトク</t>
    </rPh>
    <rPh sb="4" eb="6">
      <t>ケイカク</t>
    </rPh>
    <rPh sb="6" eb="7">
      <t>ヒョウ</t>
    </rPh>
    <rPh sb="7" eb="8">
      <t>ケン</t>
    </rPh>
    <rPh sb="8" eb="10">
      <t>ジッシ</t>
    </rPh>
    <rPh sb="10" eb="12">
      <t>ホウコク</t>
    </rPh>
    <rPh sb="12" eb="13">
      <t>ショ</t>
    </rPh>
    <rPh sb="14" eb="18">
      <t>カンゼンシュウキュウ</t>
    </rPh>
    <rPh sb="19" eb="20">
      <t>ニチ</t>
    </rPh>
    <phoneticPr fontId="1"/>
  </si>
  <si>
    <r>
      <t>←完全週休２日を判断（</t>
    </r>
    <r>
      <rPr>
        <u/>
        <sz val="24"/>
        <color rgb="FFFFC000"/>
        <rFont val="HGP創英ﾌﾟﾚｾﾞﾝｽEB"/>
        <family val="1"/>
        <charset val="128"/>
      </rPr>
      <t>各土日の現場閉所</t>
    </r>
    <r>
      <rPr>
        <sz val="24"/>
        <color rgb="FFFFC000"/>
        <rFont val="HGP創英ﾌﾟﾚｾﾞﾝｽEB"/>
        <family val="1"/>
        <charset val="128"/>
      </rPr>
      <t>及び</t>
    </r>
    <r>
      <rPr>
        <u/>
        <sz val="24"/>
        <color rgb="FFFFC000"/>
        <rFont val="HGP創英ﾌﾟﾚｾﾞﾝｽEB"/>
        <family val="1"/>
        <charset val="128"/>
      </rPr>
      <t>対象期間内現場閉所率28.5％以上</t>
    </r>
    <r>
      <rPr>
        <sz val="24"/>
        <color rgb="FFFFC000"/>
        <rFont val="HGP創英ﾌﾟﾚｾﾞﾝｽEB"/>
        <family val="1"/>
        <charset val="128"/>
      </rPr>
      <t>）</t>
    </r>
    <rPh sb="1" eb="5">
      <t>カンゼンシュウキュウ</t>
    </rPh>
    <rPh sb="6" eb="7">
      <t>ニチ</t>
    </rPh>
    <rPh sb="8" eb="10">
      <t>ハンダン</t>
    </rPh>
    <rPh sb="11" eb="12">
      <t>カク</t>
    </rPh>
    <rPh sb="12" eb="14">
      <t>ドニチ</t>
    </rPh>
    <rPh sb="15" eb="19">
      <t>ゲンバヘイショ</t>
    </rPh>
    <rPh sb="19" eb="20">
      <t>オヨ</t>
    </rPh>
    <rPh sb="21" eb="26">
      <t>タイショウキカンナイ</t>
    </rPh>
    <rPh sb="26" eb="30">
      <t>ゲンバヘイショ</t>
    </rPh>
    <rPh sb="30" eb="31">
      <t>リツ</t>
    </rPh>
    <rPh sb="36" eb="38">
      <t>イジョウ</t>
    </rPh>
    <phoneticPr fontId="1"/>
  </si>
  <si>
    <t>←対象期間内現場閉所率28.5％以上を確認しています</t>
    <rPh sb="1" eb="6">
      <t>タイショウキカンナイ</t>
    </rPh>
    <rPh sb="6" eb="10">
      <t>ゲンバヘイショ</t>
    </rPh>
    <rPh sb="10" eb="11">
      <t>リツ</t>
    </rPh>
    <rPh sb="16" eb="18">
      <t>イジョウ</t>
    </rPh>
    <rPh sb="19" eb="21">
      <t>カクニン</t>
    </rPh>
    <phoneticPr fontId="1"/>
  </si>
  <si>
    <t>発注工種：</t>
    <rPh sb="0" eb="2">
      <t>ハッチュウ</t>
    </rPh>
    <rPh sb="2" eb="3">
      <t>コウ</t>
    </rPh>
    <rPh sb="3" eb="4">
      <t>シュ</t>
    </rPh>
    <phoneticPr fontId="1"/>
  </si>
  <si>
    <t>工　　期 ：</t>
    <rPh sb="0" eb="1">
      <t>コウ</t>
    </rPh>
    <rPh sb="3" eb="4">
      <t>キ</t>
    </rPh>
    <phoneticPr fontId="1"/>
  </si>
  <si>
    <t>土木</t>
    <rPh sb="0" eb="2">
      <t>ドボク</t>
    </rPh>
    <phoneticPr fontId="1"/>
  </si>
  <si>
    <t>営繕</t>
    <rPh sb="0" eb="2">
      <t>エイゼン</t>
    </rPh>
    <phoneticPr fontId="1"/>
  </si>
  <si>
    <t>着手日直近月曜日or土曜日</t>
    <rPh sb="10" eb="13">
      <t>ドヨウビ</t>
    </rPh>
    <phoneticPr fontId="1"/>
  </si>
  <si>
    <t>曜日</t>
    <rPh sb="0" eb="2">
      <t>ヨウビ</t>
    </rPh>
    <phoneticPr fontId="1"/>
  </si>
  <si>
    <t>報告周期：</t>
    <rPh sb="0" eb="4">
      <t>ホウコクシュウキ</t>
    </rPh>
    <phoneticPr fontId="1"/>
  </si>
  <si>
    <t>第</t>
    <rPh sb="0" eb="1">
      <t>ダイ</t>
    </rPh>
    <phoneticPr fontId="1"/>
  </si>
  <si>
    <t>周期</t>
    <rPh sb="0" eb="2">
      <t>シュウキ</t>
    </rPh>
    <phoneticPr fontId="1"/>
  </si>
  <si>
    <t>休日取得計画表兼実施報告書!C13</t>
    <phoneticPr fontId="1"/>
  </si>
  <si>
    <t>休日取得計画表兼実施報告書!C19</t>
    <phoneticPr fontId="1"/>
  </si>
  <si>
    <t>休日取得計画表兼実施報告書!C25</t>
  </si>
  <si>
    <t>休日取得計画表兼実施報告書!C31</t>
  </si>
  <si>
    <t>休日取得計画表兼実施報告書!C37</t>
  </si>
  <si>
    <t>休日取得計画表兼実施報告書!C43</t>
  </si>
  <si>
    <t>休日取得計画表兼実施報告書!C49</t>
  </si>
  <si>
    <t>休日取得計画表兼実施報告書!C55</t>
  </si>
  <si>
    <t>休日取得計画表兼実施報告書!C61</t>
  </si>
  <si>
    <t>休日取得計画表兼実施報告書!C67</t>
  </si>
  <si>
    <t>休日取得計画表兼実施報告書!C73</t>
  </si>
  <si>
    <t>休日取得計画表兼実施報告書!C79</t>
  </si>
  <si>
    <t>休日取得計画表兼実施報告書!C85</t>
  </si>
  <si>
    <t>休日取得計画表兼実施報告書!C91</t>
  </si>
  <si>
    <t>休日取得計画表兼実施報告書!C97</t>
  </si>
  <si>
    <t>休日取得計画表兼実施報告書!C103</t>
  </si>
  <si>
    <t>休日取得計画表兼実施報告書!C109</t>
  </si>
  <si>
    <t>休日取得計画表兼実施報告書!C115</t>
  </si>
  <si>
    <t>休日取得計画表兼実施報告書!C121</t>
  </si>
  <si>
    <t>休日取得計画表兼実施報告書!C127</t>
  </si>
  <si>
    <t>休日取得計画表兼実施報告書!</t>
    <phoneticPr fontId="1"/>
  </si>
  <si>
    <t>休日取得計画表兼実施報告書!C29</t>
  </si>
  <si>
    <t>休日取得計画表兼実施報告書!C30</t>
  </si>
  <si>
    <t>休日取得計画表兼実施報告書!AD13</t>
    <phoneticPr fontId="1"/>
  </si>
  <si>
    <t>休日取得計画表兼実施報告書!AD43</t>
  </si>
  <si>
    <t>休日取得計画表兼実施報告書!AD73</t>
  </si>
  <si>
    <t>休日取得計画表兼実施報告書!AD103</t>
  </si>
  <si>
    <t>休日取得計画表兼実施報告書!AD19</t>
    <phoneticPr fontId="1"/>
  </si>
  <si>
    <t>休日取得計画表兼実施報告書!AD109</t>
  </si>
  <si>
    <t>休日取得計画表兼実施報告書!AD115</t>
  </si>
  <si>
    <t>休日取得計画表兼実施報告書!AD121</t>
  </si>
  <si>
    <t>休日取得計画表兼実施報告書!AD127</t>
  </si>
  <si>
    <t>休日取得計画表兼実施報告書!AD25</t>
  </si>
  <si>
    <t>休日取得計画表兼実施報告書!AD31</t>
  </si>
  <si>
    <t>休日取得計画表兼実施報告書!AD37</t>
  </si>
  <si>
    <t>休日取得計画表兼実施報告書!AD49</t>
  </si>
  <si>
    <t>休日取得計画表兼実施報告書!AD55</t>
  </si>
  <si>
    <t>休日取得計画表兼実施報告書!AD61</t>
  </si>
  <si>
    <t>休日取得計画表兼実施報告書!AD67</t>
  </si>
  <si>
    <t>休日取得計画表兼実施報告書!AD79</t>
  </si>
  <si>
    <t>休日取得計画表兼実施報告書!AD85</t>
  </si>
  <si>
    <t>休日取得計画表兼実施報告書!AD91</t>
  </si>
  <si>
    <t>休日取得計画表兼実施報告書!AD97</t>
  </si>
  <si>
    <t>休日取得計画表兼実施報告書!C18</t>
    <phoneticPr fontId="1"/>
  </si>
  <si>
    <t>休日取得計画表兼実施報告書!C17</t>
    <phoneticPr fontId="1"/>
  </si>
  <si>
    <t>休日取得計画表兼実施報告書!C24</t>
    <phoneticPr fontId="1"/>
  </si>
  <si>
    <t>休日取得計画表兼実施報告書!C23</t>
    <phoneticPr fontId="1"/>
  </si>
  <si>
    <t>休日取得計画表兼実施報告書!C35</t>
  </si>
  <si>
    <t>休日取得計画表兼実施報告書!C36</t>
  </si>
  <si>
    <t>休日取得計画表兼実施報告書!C41</t>
  </si>
  <si>
    <t>休日取得計画表兼実施報告書!C42</t>
  </si>
  <si>
    <t>休日取得計画表兼実施報告書!C47</t>
  </si>
  <si>
    <t>休日取得計画表兼実施報告書!C48</t>
  </si>
  <si>
    <t>休日取得計画表兼実施報告書!C53</t>
  </si>
  <si>
    <t>休日取得計画表兼実施報告書!C54</t>
  </si>
  <si>
    <t>休日取得計画表兼実施報告書!C59</t>
  </si>
  <si>
    <t>休日取得計画表兼実施報告書!C60</t>
  </si>
  <si>
    <t>休日取得計画表兼実施報告書!C65</t>
  </si>
  <si>
    <t>休日取得計画表兼実施報告書!C66</t>
  </si>
  <si>
    <t>休日取得計画表兼実施報告書!C71</t>
  </si>
  <si>
    <t>休日取得計画表兼実施報告書!C72</t>
  </si>
  <si>
    <t>休日取得計画表兼実施報告書!C77</t>
  </si>
  <si>
    <t>休日取得計画表兼実施報告書!C78</t>
  </si>
  <si>
    <t>休日取得計画表兼実施報告書!C83</t>
  </si>
  <si>
    <t>休日取得計画表兼実施報告書!C84</t>
  </si>
  <si>
    <t>休日取得計画表兼実施報告書!C89</t>
  </si>
  <si>
    <t>休日取得計画表兼実施報告書!C90</t>
  </si>
  <si>
    <t>休日取得計画表兼実施報告書!C95</t>
  </si>
  <si>
    <t>休日取得計画表兼実施報告書!C96</t>
  </si>
  <si>
    <t>休日取得計画表兼実施報告書!C101</t>
  </si>
  <si>
    <t>休日取得計画表兼実施報告書!C102</t>
  </si>
  <si>
    <t>休日取得計画表兼実施報告書!C107</t>
  </si>
  <si>
    <t>休日取得計画表兼実施報告書!C108</t>
  </si>
  <si>
    <t>休日取得計画表兼実施報告書!C113</t>
  </si>
  <si>
    <t>休日取得計画表兼実施報告書!C114</t>
  </si>
  <si>
    <t>休日取得計画表兼実施報告書!C119</t>
  </si>
  <si>
    <t>休日取得計画表兼実施報告書!C120</t>
  </si>
  <si>
    <t>休日取得計画表兼実施報告書!C125</t>
  </si>
  <si>
    <t>休日取得計画表兼実施報告書!C126</t>
  </si>
  <si>
    <t>休日取得計画表兼実施報告書!C131</t>
  </si>
  <si>
    <t>休日取得計画表兼実施報告書!C132</t>
  </si>
  <si>
    <t>開始日</t>
    <rPh sb="0" eb="3">
      <t>カイシビ</t>
    </rPh>
    <phoneticPr fontId="1"/>
  </si>
  <si>
    <t>休日取得計画表兼実施報告書!AL15</t>
    <phoneticPr fontId="1"/>
  </si>
  <si>
    <t>休日取得計画表兼実施報告書!AJ29</t>
    <phoneticPr fontId="1"/>
  </si>
  <si>
    <t>休日取得計画表兼実施報告書!AJ23</t>
    <phoneticPr fontId="1"/>
  </si>
  <si>
    <t>休日取得計画表兼実施報告書!AJ53</t>
  </si>
  <si>
    <t>休日取得計画表兼実施報告書!AJ83</t>
  </si>
  <si>
    <t>休日取得計画表兼実施報告書!AJ113</t>
  </si>
  <si>
    <t>休日取得計画表兼実施報告書!AJ35</t>
  </si>
  <si>
    <t>休日取得計画表兼実施報告書!AJ41</t>
  </si>
  <si>
    <t>休日取得計画表兼実施報告書!AJ47</t>
  </si>
  <si>
    <t>休日取得計画表兼実施報告書!AJ59</t>
  </si>
  <si>
    <t>休日取得計画表兼実施報告書!AJ65</t>
  </si>
  <si>
    <t>休日取得計画表兼実施報告書!AJ71</t>
  </si>
  <si>
    <t>休日取得計画表兼実施報告書!AJ77</t>
  </si>
  <si>
    <t>休日取得計画表兼実施報告書!AJ89</t>
  </si>
  <si>
    <t>休日取得計画表兼実施報告書!AJ95</t>
  </si>
  <si>
    <t>休日取得計画表兼実施報告書!AJ101</t>
  </si>
  <si>
    <t>休日取得計画表兼実施報告書!AJ107</t>
  </si>
  <si>
    <t>休日取得計画表兼実施報告書!AJ119</t>
  </si>
  <si>
    <t>休日取得計画表兼実施報告書!AJ125</t>
  </si>
  <si>
    <t>休日取得計画表兼実施報告書!AJ131</t>
  </si>
  <si>
    <t>対象日数</t>
    <rPh sb="0" eb="4">
      <t>タイショウニッスウ</t>
    </rPh>
    <phoneticPr fontId="1"/>
  </si>
  <si>
    <t>日　　付</t>
    <rPh sb="0" eb="1">
      <t>ニチ</t>
    </rPh>
    <rPh sb="3" eb="4">
      <t>ツキ</t>
    </rPh>
    <phoneticPr fontId="1"/>
  </si>
  <si>
    <t>計　　画</t>
    <rPh sb="0" eb="1">
      <t>ケイ</t>
    </rPh>
    <rPh sb="3" eb="4">
      <t>ガ</t>
    </rPh>
    <phoneticPr fontId="1"/>
  </si>
  <si>
    <t>実　　施</t>
    <rPh sb="0" eb="1">
      <t>ジツ</t>
    </rPh>
    <rPh sb="3" eb="4">
      <t>セ</t>
    </rPh>
    <phoneticPr fontId="1"/>
  </si>
  <si>
    <t>対象期間：</t>
    <rPh sb="0" eb="4">
      <t>タイショウキカン</t>
    </rPh>
    <phoneticPr fontId="1"/>
  </si>
  <si>
    <t>終了日</t>
    <rPh sb="0" eb="3">
      <t>シュウリョウビ</t>
    </rPh>
    <phoneticPr fontId="1"/>
  </si>
  <si>
    <t>～</t>
    <phoneticPr fontId="1"/>
  </si>
  <si>
    <t>特記事項</t>
    <rPh sb="0" eb="2">
      <t>トッキ</t>
    </rPh>
    <rPh sb="2" eb="4">
      <t>ジコウ</t>
    </rPh>
    <phoneticPr fontId="1"/>
  </si>
  <si>
    <t>完全週休２日工事　周期履行報告書</t>
    <rPh sb="0" eb="2">
      <t>カンゼン</t>
    </rPh>
    <rPh sb="2" eb="4">
      <t>シュウキュウ</t>
    </rPh>
    <rPh sb="5" eb="6">
      <t>ニチ</t>
    </rPh>
    <rPh sb="6" eb="8">
      <t>コウジ</t>
    </rPh>
    <rPh sb="9" eb="11">
      <t>シュウキ</t>
    </rPh>
    <rPh sb="11" eb="16">
      <t>リコウホウコクショ</t>
    </rPh>
    <phoneticPr fontId="1"/>
  </si>
  <si>
    <t>工　　期：</t>
    <rPh sb="0" eb="1">
      <t>コウ</t>
    </rPh>
    <rPh sb="3" eb="4">
      <t>キ</t>
    </rPh>
    <phoneticPr fontId="1"/>
  </si>
  <si>
    <t>から</t>
    <phoneticPr fontId="1"/>
  </si>
  <si>
    <t>まで</t>
    <phoneticPr fontId="1"/>
  </si>
  <si>
    <t>（工事着手日：</t>
    <rPh sb="1" eb="6">
      <t>コウジチャクシュビ</t>
    </rPh>
    <phoneticPr fontId="1"/>
  </si>
  <si>
    <t>報 告 月：</t>
    <rPh sb="0" eb="1">
      <t>ホウ</t>
    </rPh>
    <rPh sb="2" eb="3">
      <t>コク</t>
    </rPh>
    <rPh sb="4" eb="5">
      <t>ガツ</t>
    </rPh>
    <phoneticPr fontId="1"/>
  </si>
  <si>
    <t>令和</t>
    <rPh sb="0" eb="2">
      <t>レイワ</t>
    </rPh>
    <phoneticPr fontId="1"/>
  </si>
  <si>
    <t>年</t>
    <rPh sb="0" eb="1">
      <t>ネン</t>
    </rPh>
    <phoneticPr fontId="1"/>
  </si>
  <si>
    <t>月分</t>
    <rPh sb="0" eb="1">
      <t>ガツ</t>
    </rPh>
    <rPh sb="1" eb="2">
      <t>ブン</t>
    </rPh>
    <phoneticPr fontId="1"/>
  </si>
  <si>
    <t>日</t>
    <rPh sb="0" eb="1">
      <t>ニチ</t>
    </rPh>
    <phoneticPr fontId="1"/>
  </si>
  <si>
    <t/>
  </si>
  <si>
    <t>工期開始日</t>
    <rPh sb="0" eb="5">
      <t>コウキカイシビ</t>
    </rPh>
    <phoneticPr fontId="1"/>
  </si>
  <si>
    <t>報告書各周期初日</t>
    <rPh sb="0" eb="3">
      <t>ホウコクショ</t>
    </rPh>
    <rPh sb="3" eb="6">
      <t>カクシュウキ</t>
    </rPh>
    <rPh sb="6" eb="8">
      <t>ショニチ</t>
    </rPh>
    <phoneticPr fontId="1"/>
  </si>
  <si>
    <t>周期</t>
    <rPh sb="0" eb="2">
      <t>シュウキ</t>
    </rPh>
    <phoneticPr fontId="1"/>
  </si>
  <si>
    <t>対象月</t>
    <rPh sb="0" eb="3">
      <t>タイショウヅキ</t>
    </rPh>
    <phoneticPr fontId="1"/>
  </si>
  <si>
    <t>完全週休２日工事　各月履行報告書</t>
    <rPh sb="0" eb="2">
      <t>カンゼン</t>
    </rPh>
    <rPh sb="2" eb="4">
      <t>シュウキュウ</t>
    </rPh>
    <rPh sb="5" eb="6">
      <t>ニチ</t>
    </rPh>
    <rPh sb="6" eb="8">
      <t>コウジ</t>
    </rPh>
    <rPh sb="9" eb="10">
      <t>カク</t>
    </rPh>
    <rPh sb="11" eb="16">
      <t>リコウホウコクショ</t>
    </rPh>
    <phoneticPr fontId="1"/>
  </si>
  <si>
    <t>対象月最終日</t>
    <rPh sb="0" eb="3">
      <t>タイショウツキ</t>
    </rPh>
    <rPh sb="3" eb="6">
      <t>サイシュウビ</t>
    </rPh>
    <phoneticPr fontId="1"/>
  </si>
  <si>
    <t>報告書各周期最終日</t>
    <rPh sb="6" eb="9">
      <t>サイシュウビ</t>
    </rPh>
    <phoneticPr fontId="1"/>
  </si>
  <si>
    <t>工事開始月</t>
    <rPh sb="0" eb="5">
      <t>コウジカ</t>
    </rPh>
    <phoneticPr fontId="1"/>
  </si>
  <si>
    <t>休日取得計画表兼実施報告書!C13</t>
    <phoneticPr fontId="1"/>
  </si>
  <si>
    <t>休日取得計画表兼実施報告書!C19</t>
    <phoneticPr fontId="1"/>
  </si>
  <si>
    <t>該当周期</t>
    <rPh sb="0" eb="4">
      <t>ガイトウシュウキ</t>
    </rPh>
    <phoneticPr fontId="1"/>
  </si>
  <si>
    <t>（初月のみ）</t>
    <rPh sb="1" eb="3">
      <t>ショヅキ</t>
    </rPh>
    <phoneticPr fontId="1"/>
  </si>
  <si>
    <t>AD18</t>
    <phoneticPr fontId="1"/>
  </si>
  <si>
    <t>AD24</t>
    <phoneticPr fontId="1"/>
  </si>
  <si>
    <t>AD30</t>
    <phoneticPr fontId="1"/>
  </si>
  <si>
    <t>AD36</t>
    <phoneticPr fontId="1"/>
  </si>
  <si>
    <t>AD42</t>
    <phoneticPr fontId="1"/>
  </si>
  <si>
    <t>AD48</t>
    <phoneticPr fontId="1"/>
  </si>
  <si>
    <t>AD54</t>
    <phoneticPr fontId="1"/>
  </si>
  <si>
    <t>AD60</t>
    <phoneticPr fontId="1"/>
  </si>
  <si>
    <t>AD66</t>
    <phoneticPr fontId="1"/>
  </si>
  <si>
    <t>AD72</t>
    <phoneticPr fontId="1"/>
  </si>
  <si>
    <t>AD78</t>
    <phoneticPr fontId="1"/>
  </si>
  <si>
    <t>AD84</t>
    <phoneticPr fontId="1"/>
  </si>
  <si>
    <t>AD90</t>
    <phoneticPr fontId="1"/>
  </si>
  <si>
    <t>AD96</t>
    <phoneticPr fontId="1"/>
  </si>
  <si>
    <t>AD102</t>
    <phoneticPr fontId="1"/>
  </si>
  <si>
    <t>AD108</t>
    <phoneticPr fontId="1"/>
  </si>
  <si>
    <t>AD114</t>
    <phoneticPr fontId="1"/>
  </si>
  <si>
    <t>AD120</t>
    <phoneticPr fontId="1"/>
  </si>
  <si>
    <t>AD126</t>
    <phoneticPr fontId="1"/>
  </si>
  <si>
    <t>AD132</t>
    <phoneticPr fontId="1"/>
  </si>
  <si>
    <t>当該周期前</t>
    <rPh sb="0" eb="5">
      <t>トウガイシュウキマエ</t>
    </rPh>
    <phoneticPr fontId="1"/>
  </si>
  <si>
    <t>該当周期後</t>
    <rPh sb="0" eb="4">
      <t>ガイトウシュウキ</t>
    </rPh>
    <rPh sb="4" eb="5">
      <t>アト</t>
    </rPh>
    <phoneticPr fontId="1"/>
  </si>
  <si>
    <t>カレンダー切り替え日</t>
    <rPh sb="5" eb="6">
      <t>キ</t>
    </rPh>
    <rPh sb="7" eb="8">
      <t>カ</t>
    </rPh>
    <rPh sb="9" eb="10">
      <t>ビ</t>
    </rPh>
    <phoneticPr fontId="1"/>
  </si>
  <si>
    <t>当該月</t>
    <rPh sb="0" eb="2">
      <t>トウガイ</t>
    </rPh>
    <rPh sb="2" eb="3">
      <t>ヅキ</t>
    </rPh>
    <phoneticPr fontId="1"/>
  </si>
  <si>
    <t>前月</t>
    <rPh sb="0" eb="2">
      <t>ゼンゲツ</t>
    </rPh>
    <phoneticPr fontId="1"/>
  </si>
  <si>
    <t>後月</t>
    <rPh sb="0" eb="2">
      <t>アトツキ</t>
    </rPh>
    <phoneticPr fontId="1"/>
  </si>
  <si>
    <t>計画</t>
    <rPh sb="0" eb="2">
      <t>ケイカク</t>
    </rPh>
    <phoneticPr fontId="1"/>
  </si>
  <si>
    <t>実施</t>
    <rPh sb="0" eb="2">
      <t>ジッシ</t>
    </rPh>
    <phoneticPr fontId="1"/>
  </si>
  <si>
    <t>IF</t>
    <phoneticPr fontId="1"/>
  </si>
  <si>
    <t>作成</t>
    <rPh sb="0" eb="2">
      <t>サクセイ</t>
    </rPh>
    <phoneticPr fontId="1"/>
  </si>
  <si>
    <t>関数確認用</t>
    <rPh sb="0" eb="2">
      <t>カンスウ</t>
    </rPh>
    <rPh sb="2" eb="5">
      <t>カクニンヨウ</t>
    </rPh>
    <phoneticPr fontId="1"/>
  </si>
  <si>
    <t>※元日（祝日）を含む６日間</t>
    <rPh sb="1" eb="3">
      <t>ガンジツ</t>
    </rPh>
    <rPh sb="4" eb="6">
      <t>シュクジツ</t>
    </rPh>
    <rPh sb="8" eb="9">
      <t>フク</t>
    </rPh>
    <rPh sb="11" eb="12">
      <t>ニチ</t>
    </rPh>
    <rPh sb="12" eb="13">
      <t>アイダ</t>
    </rPh>
    <phoneticPr fontId="1"/>
  </si>
  <si>
    <t>工事着手前の準備期間</t>
    <rPh sb="0" eb="2">
      <t>コウジ</t>
    </rPh>
    <rPh sb="2" eb="4">
      <t>チャクシュ</t>
    </rPh>
    <rPh sb="4" eb="5">
      <t>マエ</t>
    </rPh>
    <rPh sb="6" eb="8">
      <t>ジュンビ</t>
    </rPh>
    <rPh sb="8" eb="10">
      <t>キカン</t>
    </rPh>
    <phoneticPr fontId="1"/>
  </si>
  <si>
    <t>現場完成後の期間</t>
    <rPh sb="0" eb="4">
      <t>ゲンバカンセイ</t>
    </rPh>
    <rPh sb="4" eb="5">
      <t>ゴ</t>
    </rPh>
    <rPh sb="6" eb="8">
      <t>キカン</t>
    </rPh>
    <phoneticPr fontId="1"/>
  </si>
  <si>
    <t>完全週休２日（土日祝）達成</t>
    <rPh sb="0" eb="2">
      <t>カンゼン</t>
    </rPh>
    <rPh sb="2" eb="4">
      <t>シュウキュウ</t>
    </rPh>
    <rPh sb="5" eb="6">
      <t>ニチ</t>
    </rPh>
    <rPh sb="7" eb="9">
      <t>ドニチ</t>
    </rPh>
    <rPh sb="9" eb="10">
      <t>シュク</t>
    </rPh>
    <rPh sb="11" eb="13">
      <t>タッセイ</t>
    </rPh>
    <phoneticPr fontId="1"/>
  </si>
  <si>
    <t>完全週休２日（土日）達成</t>
    <rPh sb="0" eb="2">
      <t>カンゼン</t>
    </rPh>
    <rPh sb="2" eb="4">
      <t>シュウキュウ</t>
    </rPh>
    <rPh sb="5" eb="6">
      <t>ニチ</t>
    </rPh>
    <rPh sb="7" eb="9">
      <t>ドニチ</t>
    </rPh>
    <rPh sb="10" eb="12">
      <t>タッセイ</t>
    </rPh>
    <phoneticPr fontId="1"/>
  </si>
  <si>
    <t>未達成</t>
    <rPh sb="0" eb="3">
      <t>ミタッセイ</t>
    </rPh>
    <phoneticPr fontId="1"/>
  </si>
  <si>
    <t>週休２日達成状況：</t>
    <rPh sb="0" eb="2">
      <t>シュウキュウ</t>
    </rPh>
    <rPh sb="3" eb="4">
      <t>ニチ</t>
    </rPh>
    <rPh sb="4" eb="8">
      <t>タッセイジョウキョウ</t>
    </rPh>
    <phoneticPr fontId="1"/>
  </si>
  <si>
    <t>月単位の週休２日(現場閉所率28.5％以上)達成</t>
    <rPh sb="0" eb="3">
      <t>ツキタンイ</t>
    </rPh>
    <rPh sb="4" eb="6">
      <t>シュウキュウ</t>
    </rPh>
    <rPh sb="7" eb="8">
      <t>ニチ</t>
    </rPh>
    <rPh sb="9" eb="14">
      <t>ゲンバヘイショリツ</t>
    </rPh>
    <rPh sb="19" eb="21">
      <t>イジョウ</t>
    </rPh>
    <rPh sb="22" eb="24">
      <t>タッセイ</t>
    </rPh>
    <phoneticPr fontId="1"/>
  </si>
  <si>
    <t>週休２日達成状況プルダウン</t>
    <rPh sb="0" eb="2">
      <t>シュウキュウ</t>
    </rPh>
    <rPh sb="3" eb="4">
      <t>ニチ</t>
    </rPh>
    <rPh sb="4" eb="8">
      <t>タッセイジョウキョウ</t>
    </rPh>
    <phoneticPr fontId="1"/>
  </si>
  <si>
    <t>周期終了日</t>
    <rPh sb="0" eb="2">
      <t>シュウキ</t>
    </rPh>
    <rPh sb="2" eb="5">
      <t>シュウリョウビ</t>
    </rPh>
    <phoneticPr fontId="1"/>
  </si>
  <si>
    <t>休日取得計画表兼実施報告書!AK20</t>
    <phoneticPr fontId="1"/>
  </si>
  <si>
    <t>休日取得計画表兼実施報告書!AK13</t>
    <phoneticPr fontId="1"/>
  </si>
  <si>
    <t>休日取得計画表兼実施報告書!AK26</t>
    <phoneticPr fontId="1"/>
  </si>
  <si>
    <t>休日取得計画表兼実施報告書!AK32</t>
  </si>
  <si>
    <t>休日取得計画表兼実施報告書!AK38</t>
  </si>
  <si>
    <t>休日取得計画表兼実施報告書!AK44</t>
  </si>
  <si>
    <t>休日取得計画表兼実施報告書!AK50</t>
  </si>
  <si>
    <t>休日取得計画表兼実施報告書!AK56</t>
  </si>
  <si>
    <t>休日取得計画表兼実施報告書!AK62</t>
  </si>
  <si>
    <t>休日取得計画表兼実施報告書!AK68</t>
  </si>
  <si>
    <t>休日取得計画表兼実施報告書!AK74</t>
  </si>
  <si>
    <t>休日取得計画表兼実施報告書!AK80</t>
  </si>
  <si>
    <t>休日取得計画表兼実施報告書!AK86</t>
  </si>
  <si>
    <t>休日取得計画表兼実施報告書!AK92</t>
  </si>
  <si>
    <t>休日取得計画表兼実施報告書!AK98</t>
  </si>
  <si>
    <t>休日取得計画表兼実施報告書!AK104</t>
  </si>
  <si>
    <t>休日取得計画表兼実施報告書!AK110</t>
  </si>
  <si>
    <t>休日取得計画表兼実施報告書!AK116</t>
  </si>
  <si>
    <t>休日取得計画表兼実施報告書!AK122</t>
  </si>
  <si>
    <t>休日取得計画表兼実施報告書!AK128</t>
  </si>
  <si>
    <t>←週休２日の達成状況をリストから選択のこと</t>
    <rPh sb="1" eb="3">
      <t>シュウキュウ</t>
    </rPh>
    <rPh sb="4" eb="5">
      <t>ニチ</t>
    </rPh>
    <rPh sb="6" eb="8">
      <t>タッセイ</t>
    </rPh>
    <rPh sb="8" eb="10">
      <t>ジョウキョウ</t>
    </rPh>
    <rPh sb="16" eb="18">
      <t>センタク</t>
    </rPh>
    <phoneticPr fontId="1"/>
  </si>
  <si>
    <t>（完全週休２日：全土日の現場閉所）</t>
    <rPh sb="1" eb="5">
      <t>カンゼンシュウキュウ</t>
    </rPh>
    <rPh sb="6" eb="7">
      <t>ニチ</t>
    </rPh>
    <rPh sb="8" eb="9">
      <t>ゼン</t>
    </rPh>
    <rPh sb="9" eb="11">
      <t>ドニチ</t>
    </rPh>
    <rPh sb="12" eb="16">
      <t>ゲンバヘイショ</t>
    </rPh>
    <phoneticPr fontId="1"/>
  </si>
  <si>
    <t>（通期の週休２日：現場閉所率28.5％以上。ただし暦上の土日の閉所では現場閉所率28.5％を達成しない月は、土日の合計日数以上に閉所すれば達成）</t>
    <rPh sb="1" eb="3">
      <t>ツウキ</t>
    </rPh>
    <rPh sb="4" eb="6">
      <t>シュウキュウ</t>
    </rPh>
    <rPh sb="7" eb="8">
      <t>ニチ</t>
    </rPh>
    <rPh sb="9" eb="14">
      <t>ゲンバヘイショリツ</t>
    </rPh>
    <rPh sb="19" eb="21">
      <t>イジョウ</t>
    </rPh>
    <rPh sb="25" eb="27">
      <t>コヨミジョウ</t>
    </rPh>
    <rPh sb="28" eb="30">
      <t>ドニチ</t>
    </rPh>
    <rPh sb="31" eb="33">
      <t>ヘイショ</t>
    </rPh>
    <rPh sb="35" eb="40">
      <t>ゲンバヘイショリツ</t>
    </rPh>
    <rPh sb="46" eb="48">
      <t>タッセイ</t>
    </rPh>
    <rPh sb="51" eb="52">
      <t>ツキ</t>
    </rPh>
    <rPh sb="54" eb="56">
      <t>ドニチ</t>
    </rPh>
    <rPh sb="57" eb="59">
      <t>ゴウケイ</t>
    </rPh>
    <rPh sb="59" eb="63">
      <t>ニッスウイジョウ</t>
    </rPh>
    <rPh sb="64" eb="66">
      <t>ヘイショ</t>
    </rPh>
    <rPh sb="69" eb="71">
      <t>タッセイ</t>
    </rPh>
    <phoneticPr fontId="1"/>
  </si>
  <si>
    <t>対象日数</t>
    <rPh sb="0" eb="1">
      <t>タイショウ</t>
    </rPh>
    <rPh sb="2" eb="4">
      <t>ニッスウ</t>
    </rPh>
    <phoneticPr fontId="1"/>
  </si>
  <si>
    <t>・4/29（火）は祝日</t>
    <rPh sb="6" eb="7">
      <t>ヒ</t>
    </rPh>
    <rPh sb="9" eb="11">
      <t>シュクジツ</t>
    </rPh>
    <phoneticPr fontId="1"/>
  </si>
  <si>
    <t>〇〇舗装工事</t>
  </si>
  <si>
    <t>・4/27（日）は4/25（木）に振り替え現場閉所した</t>
    <rPh sb="6" eb="7">
      <t>ニチ</t>
    </rPh>
    <rPh sb="14" eb="15">
      <t>モク</t>
    </rPh>
    <rPh sb="17" eb="18">
      <t>フ</t>
    </rPh>
    <rPh sb="19" eb="20">
      <t>カ</t>
    </rPh>
    <rPh sb="21" eb="23">
      <t>ゲンバ</t>
    </rPh>
    <rPh sb="23" eb="25">
      <t>ヘイショ</t>
    </rPh>
    <phoneticPr fontId="1"/>
  </si>
  <si>
    <r>
      <rPr>
        <sz val="22"/>
        <color rgb="FFFF0000"/>
        <rFont val="Yu Gothic UI Semilight"/>
        <family val="3"/>
        <charset val="128"/>
      </rPr>
      <t xml:space="preserve">  </t>
    </r>
    <r>
      <rPr>
        <u/>
        <sz val="22"/>
        <color rgb="FFFF0000"/>
        <rFont val="Yu Gothic UI Semilight"/>
        <family val="3"/>
        <charset val="128"/>
      </rPr>
      <t>注）工期末周期までのすべての計画セル及び実施セルに「完」を入力する。翌周期以降の対象日数等のカウント欄が</t>
    </r>
    <rPh sb="2" eb="3">
      <t>チュウ</t>
    </rPh>
    <rPh sb="4" eb="6">
      <t>コウキ</t>
    </rPh>
    <rPh sb="6" eb="7">
      <t>マツ</t>
    </rPh>
    <rPh sb="7" eb="9">
      <t>シュウキ</t>
    </rPh>
    <rPh sb="16" eb="18">
      <t>ケイカク</t>
    </rPh>
    <rPh sb="20" eb="21">
      <t>オヨ</t>
    </rPh>
    <rPh sb="22" eb="24">
      <t>ジッシ</t>
    </rPh>
    <rPh sb="28" eb="29">
      <t>カン</t>
    </rPh>
    <rPh sb="31" eb="33">
      <t>ニュウリョク</t>
    </rPh>
    <rPh sb="36" eb="37">
      <t>ヨク</t>
    </rPh>
    <rPh sb="37" eb="39">
      <t>シュウキ</t>
    </rPh>
    <rPh sb="39" eb="41">
      <t>イコウ</t>
    </rPh>
    <phoneticPr fontId="1"/>
  </si>
  <si>
    <r>
      <rPr>
        <sz val="22"/>
        <color rgb="FFFF0000"/>
        <rFont val="Yu Gothic UI Semilight"/>
        <family val="3"/>
        <charset val="128"/>
      </rPr>
      <t xml:space="preserve"> 　　 </t>
    </r>
    <r>
      <rPr>
        <u/>
        <sz val="22"/>
        <color rgb="FFFF0000"/>
        <rFont val="Yu Gothic UI Semilight"/>
        <family val="3"/>
        <charset val="128"/>
      </rPr>
      <t>空欄になっていることを確認すること。</t>
    </r>
    <rPh sb="4" eb="6">
      <t>クウラン</t>
    </rPh>
    <rPh sb="15" eb="17">
      <t>カクニン</t>
    </rPh>
    <phoneticPr fontId="1"/>
  </si>
  <si>
    <t>「着手日」に実際の工事現場の着手日を入力（準備期間を除く）</t>
    <rPh sb="1" eb="3">
      <t>チャクシュ</t>
    </rPh>
    <rPh sb="3" eb="4">
      <t>ビ</t>
    </rPh>
    <rPh sb="6" eb="8">
      <t>ジッサイ</t>
    </rPh>
    <rPh sb="9" eb="11">
      <t>コウジ</t>
    </rPh>
    <rPh sb="11" eb="13">
      <t>ゲンバ</t>
    </rPh>
    <rPh sb="14" eb="16">
      <t>チャクシュ</t>
    </rPh>
    <rPh sb="16" eb="17">
      <t>ビ</t>
    </rPh>
    <rPh sb="18" eb="20">
      <t>ニュウリョク</t>
    </rPh>
    <rPh sb="21" eb="23">
      <t>ジュンビ</t>
    </rPh>
    <rPh sb="23" eb="25">
      <t>キカン</t>
    </rPh>
    <rPh sb="26" eb="27">
      <t>ノゾ</t>
    </rPh>
    <phoneticPr fontId="1"/>
  </si>
  <si>
    <t>・契約書の情報のとおり入力します。</t>
    <rPh sb="1" eb="4">
      <t>ケイヤクショ</t>
    </rPh>
    <rPh sb="5" eb="7">
      <t>ジョウホウ</t>
    </rPh>
    <rPh sb="11" eb="13">
      <t>ニュウリョク</t>
    </rPh>
    <phoneticPr fontId="1"/>
  </si>
  <si>
    <t>「発注工種」に土木又は営繕を入力（プルダウンから選択）</t>
    <rPh sb="1" eb="3">
      <t>ハッチュウ</t>
    </rPh>
    <rPh sb="3" eb="4">
      <t>コウ</t>
    </rPh>
    <rPh sb="4" eb="5">
      <t>シュ</t>
    </rPh>
    <rPh sb="7" eb="9">
      <t>ドボク</t>
    </rPh>
    <rPh sb="9" eb="10">
      <t>マタ</t>
    </rPh>
    <rPh sb="11" eb="13">
      <t>エイゼン</t>
    </rPh>
    <rPh sb="14" eb="16">
      <t>ニュウリョク</t>
    </rPh>
    <rPh sb="24" eb="26">
      <t>センタク</t>
    </rPh>
    <phoneticPr fontId="1"/>
  </si>
  <si>
    <t>工事完了後の翌周期以降、不要となる周期は削除せず非表示にする</t>
    <rPh sb="0" eb="2">
      <t>コウジ</t>
    </rPh>
    <rPh sb="2" eb="5">
      <t>カンリョウゴ</t>
    </rPh>
    <rPh sb="6" eb="7">
      <t>ヨク</t>
    </rPh>
    <rPh sb="7" eb="9">
      <t>シュウキ</t>
    </rPh>
    <rPh sb="9" eb="11">
      <t>イコウ</t>
    </rPh>
    <rPh sb="12" eb="14">
      <t>フヨウ</t>
    </rPh>
    <rPh sb="17" eb="19">
      <t>シュウキ</t>
    </rPh>
    <rPh sb="20" eb="22">
      <t>サクジョ</t>
    </rPh>
    <rPh sb="24" eb="27">
      <t>ヒヒョウジ</t>
    </rPh>
    <phoneticPr fontId="1"/>
  </si>
  <si>
    <t>・「完全週休２日」を基本としている為、各土日の計画には自動的に「休」が入力されます。</t>
    <rPh sb="2" eb="4">
      <t>カンゼン</t>
    </rPh>
    <rPh sb="4" eb="6">
      <t>シュウキュウ</t>
    </rPh>
    <rPh sb="7" eb="8">
      <t>ニチ</t>
    </rPh>
    <rPh sb="10" eb="12">
      <t>キホン</t>
    </rPh>
    <rPh sb="17" eb="18">
      <t>タメ</t>
    </rPh>
    <rPh sb="19" eb="20">
      <t>カク</t>
    </rPh>
    <rPh sb="20" eb="22">
      <t>ドニチ</t>
    </rPh>
    <rPh sb="23" eb="25">
      <t>ケイカク</t>
    </rPh>
    <rPh sb="27" eb="30">
      <t>ジドウテキ</t>
    </rPh>
    <rPh sb="32" eb="33">
      <t>ヤス</t>
    </rPh>
    <rPh sb="35" eb="37">
      <t>ニュウリョク</t>
    </rPh>
    <phoneticPr fontId="1"/>
  </si>
  <si>
    <t>計画していた休日が取得できない場合の振替 、降雨・降雪等による予定外の現場閉所日</t>
    <rPh sb="0" eb="2">
      <t>ケイカク</t>
    </rPh>
    <rPh sb="6" eb="8">
      <t>キュウジツ</t>
    </rPh>
    <rPh sb="9" eb="11">
      <t>シュトク</t>
    </rPh>
    <rPh sb="15" eb="17">
      <t>バアイ</t>
    </rPh>
    <rPh sb="18" eb="20">
      <t>フリカエ</t>
    </rPh>
    <phoneticPr fontId="1"/>
  </si>
  <si>
    <t>受注者の責によらず土日施工を要する場合の振替（事前に監督職員と協議すること）</t>
    <rPh sb="0" eb="3">
      <t>ジュチュウシャ</t>
    </rPh>
    <rPh sb="4" eb="5">
      <t>セキ</t>
    </rPh>
    <rPh sb="9" eb="11">
      <t>ドニチ</t>
    </rPh>
    <rPh sb="11" eb="13">
      <t>セコウ</t>
    </rPh>
    <rPh sb="14" eb="15">
      <t>ヨウ</t>
    </rPh>
    <rPh sb="17" eb="19">
      <t>バアイ</t>
    </rPh>
    <rPh sb="20" eb="22">
      <t>フリカエ</t>
    </rPh>
    <rPh sb="23" eb="25">
      <t>ジゼン</t>
    </rPh>
    <rPh sb="26" eb="30">
      <t>カントクショクイン</t>
    </rPh>
    <rPh sb="31" eb="33">
      <t>キョウギ</t>
    </rPh>
    <phoneticPr fontId="1"/>
  </si>
  <si>
    <t>「休日取得計画表」を施工計画書の提出前に、工事打合簿に添付して監督職員に報告する。</t>
    <rPh sb="10" eb="12">
      <t>セコウ</t>
    </rPh>
    <rPh sb="12" eb="15">
      <t>ケイカクショ</t>
    </rPh>
    <rPh sb="16" eb="18">
      <t>テイシュツ</t>
    </rPh>
    <rPh sb="18" eb="19">
      <t>マエ</t>
    </rPh>
    <rPh sb="21" eb="23">
      <t>コウジ</t>
    </rPh>
    <rPh sb="23" eb="25">
      <t>ウチアワ</t>
    </rPh>
    <rPh sb="25" eb="26">
      <t>ボ</t>
    </rPh>
    <rPh sb="27" eb="29">
      <t>テンプ</t>
    </rPh>
    <rPh sb="31" eb="33">
      <t>カントク</t>
    </rPh>
    <rPh sb="33" eb="35">
      <t>ショクイン</t>
    </rPh>
    <rPh sb="36" eb="38">
      <t>ホウコク</t>
    </rPh>
    <phoneticPr fontId="1"/>
  </si>
  <si>
    <t>すべて周期で取組み内容に沿った計画となっているか確認（完全週休２日又は月単位の週休２日）</t>
    <rPh sb="3" eb="5">
      <t>シュウキ</t>
    </rPh>
    <rPh sb="6" eb="8">
      <t>トリク</t>
    </rPh>
    <rPh sb="9" eb="11">
      <t>ナイヨウ</t>
    </rPh>
    <rPh sb="12" eb="13">
      <t>ソ</t>
    </rPh>
    <rPh sb="15" eb="17">
      <t>ケイカク</t>
    </rPh>
    <rPh sb="24" eb="26">
      <t>カクニン</t>
    </rPh>
    <rPh sb="27" eb="31">
      <t>カンゼンシュウキュウ</t>
    </rPh>
    <rPh sb="32" eb="33">
      <t>ニチ</t>
    </rPh>
    <rPh sb="33" eb="34">
      <t>マタ</t>
    </rPh>
    <rPh sb="35" eb="38">
      <t>ツキタンイ</t>
    </rPh>
    <rPh sb="39" eb="41">
      <t>シュウキュウ</t>
    </rPh>
    <rPh sb="42" eb="43">
      <t>ニチ</t>
    </rPh>
    <phoneticPr fontId="1"/>
  </si>
  <si>
    <t>提出日を記入し、提出区分を「休日取得計画提出」とする（プルダウンから選択）</t>
    <rPh sb="0" eb="3">
      <t>テイシュツビ</t>
    </rPh>
    <rPh sb="4" eb="6">
      <t>キニュウ</t>
    </rPh>
    <rPh sb="8" eb="12">
      <t>テイシュツクブン</t>
    </rPh>
    <rPh sb="14" eb="16">
      <t>キュウジツ</t>
    </rPh>
    <rPh sb="16" eb="20">
      <t>シュトクケイカク</t>
    </rPh>
    <rPh sb="20" eb="22">
      <t>テイシュツ</t>
    </rPh>
    <rPh sb="34" eb="36">
      <t>センタク</t>
    </rPh>
    <phoneticPr fontId="1"/>
  </si>
  <si>
    <t>⑨</t>
    <phoneticPr fontId="1"/>
  </si>
  <si>
    <r>
      <rPr>
        <b/>
        <sz val="22"/>
        <rFont val="Yu Gothic UI Semilight"/>
        <family val="3"/>
        <charset val="128"/>
      </rPr>
      <t>提出日を記入し、提出区分を</t>
    </r>
    <r>
      <rPr>
        <b/>
        <sz val="22"/>
        <color theme="1"/>
        <rFont val="Yu Gothic UI Semilight"/>
        <family val="3"/>
        <charset val="128"/>
      </rPr>
      <t>「変更休暇取得計画提出」に変更（プルダウンで選択）</t>
    </r>
    <rPh sb="8" eb="10">
      <t>テイシュツ</t>
    </rPh>
    <rPh sb="10" eb="12">
      <t>クブン</t>
    </rPh>
    <rPh sb="14" eb="16">
      <t>ヘンコウ</t>
    </rPh>
    <rPh sb="16" eb="18">
      <t>キュウカ</t>
    </rPh>
    <rPh sb="18" eb="20">
      <t>シュトク</t>
    </rPh>
    <rPh sb="20" eb="22">
      <t>ケイカク</t>
    </rPh>
    <rPh sb="22" eb="24">
      <t>テイシュツ</t>
    </rPh>
    <rPh sb="26" eb="28">
      <t>ヘンコウ</t>
    </rPh>
    <rPh sb="35" eb="37">
      <t>センタク</t>
    </rPh>
    <phoneticPr fontId="1"/>
  </si>
  <si>
    <t>工事期間中、各周期実施セルに現場閉所状況を入力して休日取得状況を管理する</t>
    <rPh sb="0" eb="5">
      <t>コウジキカンチュウ</t>
    </rPh>
    <rPh sb="6" eb="9">
      <t>カクシュウキ</t>
    </rPh>
    <rPh sb="9" eb="11">
      <t>ジッシ</t>
    </rPh>
    <rPh sb="14" eb="16">
      <t>ゲンバ</t>
    </rPh>
    <rPh sb="16" eb="18">
      <t>ヘイショ</t>
    </rPh>
    <rPh sb="18" eb="20">
      <t>ジョウキョウ</t>
    </rPh>
    <rPh sb="21" eb="23">
      <t>ニュウリョク</t>
    </rPh>
    <rPh sb="25" eb="31">
      <t>キュウジツシュトクジョウキョウ</t>
    </rPh>
    <rPh sb="32" eb="34">
      <t>カンリ</t>
    </rPh>
    <phoneticPr fontId="1"/>
  </si>
  <si>
    <t>・代休取得する場合は「北上市週休２日工事実施要領」を確認のうえ、事前に監督職員と協議すること。</t>
    <rPh sb="1" eb="5">
      <t>ダイキュウシュトク</t>
    </rPh>
    <rPh sb="7" eb="9">
      <t>バアイ</t>
    </rPh>
    <rPh sb="26" eb="28">
      <t>カクニン</t>
    </rPh>
    <rPh sb="32" eb="34">
      <t>ジゼン</t>
    </rPh>
    <rPh sb="35" eb="39">
      <t>カントクショクイン</t>
    </rPh>
    <rPh sb="40" eb="42">
      <t>キョウギ</t>
    </rPh>
    <phoneticPr fontId="1"/>
  </si>
  <si>
    <t>月毎に実施状況を報告する。「履行報告書」に必要事項を入力し、各月の履行報告に添付して報告すること</t>
    <rPh sb="0" eb="2">
      <t>ツキゴト</t>
    </rPh>
    <rPh sb="3" eb="7">
      <t>ジッシジョウキョウ</t>
    </rPh>
    <rPh sb="8" eb="10">
      <t>ホウコク</t>
    </rPh>
    <rPh sb="14" eb="19">
      <t>リコウホウコクショ</t>
    </rPh>
    <rPh sb="21" eb="25">
      <t>ヒツヨウジコウ</t>
    </rPh>
    <rPh sb="26" eb="28">
      <t>ニュウリョク</t>
    </rPh>
    <rPh sb="30" eb="32">
      <t>カクツキ</t>
    </rPh>
    <rPh sb="33" eb="35">
      <t>リコウ</t>
    </rPh>
    <rPh sb="35" eb="37">
      <t>ホウコク</t>
    </rPh>
    <rPh sb="38" eb="40">
      <t>テンプ</t>
    </rPh>
    <rPh sb="42" eb="44">
      <t>ホウコク</t>
    </rPh>
    <phoneticPr fontId="1"/>
  </si>
  <si>
    <t>・報告書は（各月）、（周期）のどちらか一方を現場毎に判断して使用すること。</t>
    <rPh sb="1" eb="4">
      <t>ホウコクショ</t>
    </rPh>
    <rPh sb="6" eb="8">
      <t>カクツキ</t>
    </rPh>
    <rPh sb="11" eb="13">
      <t>シュウキ</t>
    </rPh>
    <rPh sb="19" eb="21">
      <t>イッポウ</t>
    </rPh>
    <rPh sb="30" eb="32">
      <t>シヨウ</t>
    </rPh>
    <phoneticPr fontId="1"/>
  </si>
  <si>
    <t>〇 履行報告書（各月）の作成（入力）方法</t>
    <rPh sb="2" eb="4">
      <t>リコウ</t>
    </rPh>
    <rPh sb="4" eb="6">
      <t>ホウコク</t>
    </rPh>
    <rPh sb="6" eb="7">
      <t>ショ</t>
    </rPh>
    <rPh sb="8" eb="10">
      <t>カクツキ</t>
    </rPh>
    <rPh sb="12" eb="14">
      <t>サクセイ</t>
    </rPh>
    <rPh sb="15" eb="17">
      <t>ニュウリョク</t>
    </rPh>
    <rPh sb="18" eb="20">
      <t>ホウホウ</t>
    </rPh>
    <phoneticPr fontId="1"/>
  </si>
  <si>
    <t>履行報告書（各月）の黄色セルに報告月を入力する</t>
    <rPh sb="0" eb="2">
      <t>リコウ</t>
    </rPh>
    <rPh sb="2" eb="4">
      <t>ホウコク</t>
    </rPh>
    <rPh sb="4" eb="5">
      <t>ショ</t>
    </rPh>
    <rPh sb="6" eb="8">
      <t>カクツキ</t>
    </rPh>
    <rPh sb="10" eb="12">
      <t>キイロ</t>
    </rPh>
    <rPh sb="15" eb="17">
      <t>ホウコク</t>
    </rPh>
    <rPh sb="17" eb="18">
      <t>ヅキ</t>
    </rPh>
    <rPh sb="19" eb="21">
      <t>ニュウリョク</t>
    </rPh>
    <phoneticPr fontId="1"/>
  </si>
  <si>
    <t>（プルダウンで選択）</t>
    <phoneticPr fontId="1"/>
  </si>
  <si>
    <t>週休日達成状況を確認し、達成状況を入力する</t>
    <rPh sb="0" eb="2">
      <t>シュウキュウ</t>
    </rPh>
    <rPh sb="2" eb="3">
      <t>ニチ</t>
    </rPh>
    <rPh sb="3" eb="5">
      <t>タッセイ</t>
    </rPh>
    <rPh sb="5" eb="7">
      <t>ジョウキョウ</t>
    </rPh>
    <rPh sb="8" eb="10">
      <t>カクニン</t>
    </rPh>
    <rPh sb="12" eb="16">
      <t>タッセイジョウキョウ</t>
    </rPh>
    <rPh sb="17" eb="19">
      <t>ニュウリョク</t>
    </rPh>
    <phoneticPr fontId="1"/>
  </si>
  <si>
    <t>⑱</t>
    <phoneticPr fontId="1"/>
  </si>
  <si>
    <t>現場閉所状況が実施報告書と一致していることを確認し、</t>
    <rPh sb="0" eb="2">
      <t>ゲンバ</t>
    </rPh>
    <rPh sb="2" eb="4">
      <t>ヘイショ</t>
    </rPh>
    <rPh sb="4" eb="6">
      <t>ジョウキョウ</t>
    </rPh>
    <rPh sb="7" eb="9">
      <t>ジッシ</t>
    </rPh>
    <rPh sb="9" eb="12">
      <t>ホウコクショ</t>
    </rPh>
    <rPh sb="13" eb="15">
      <t>イッチ</t>
    </rPh>
    <rPh sb="22" eb="24">
      <t>カクニン</t>
    </rPh>
    <phoneticPr fontId="1"/>
  </si>
  <si>
    <t>必要に応じて修正を行う</t>
    <rPh sb="0" eb="2">
      <t>ヒツヨウ</t>
    </rPh>
    <rPh sb="3" eb="4">
      <t>オウ</t>
    </rPh>
    <rPh sb="6" eb="8">
      <t>シュウセイ</t>
    </rPh>
    <rPh sb="9" eb="10">
      <t>オコナ</t>
    </rPh>
    <phoneticPr fontId="1"/>
  </si>
  <si>
    <t>⑲</t>
    <phoneticPr fontId="1"/>
  </si>
  <si>
    <t>〇 履行報告書(周期)</t>
    <rPh sb="2" eb="4">
      <t>リコウ</t>
    </rPh>
    <rPh sb="4" eb="6">
      <t>ホウコク</t>
    </rPh>
    <rPh sb="6" eb="7">
      <t>ショ</t>
    </rPh>
    <rPh sb="8" eb="10">
      <t>シュウキ</t>
    </rPh>
    <phoneticPr fontId="1"/>
  </si>
  <si>
    <t>必要に応じて特記事項を入力する</t>
    <rPh sb="0" eb="2">
      <t>ヒツヨウ</t>
    </rPh>
    <rPh sb="3" eb="4">
      <t>オウ</t>
    </rPh>
    <rPh sb="6" eb="10">
      <t>トッキジコウ</t>
    </rPh>
    <rPh sb="11" eb="13">
      <t>ニュウリョク</t>
    </rPh>
    <phoneticPr fontId="1"/>
  </si>
  <si>
    <t>履行報告書（周期）の黄色セルに報告周期を入力する</t>
    <rPh sb="0" eb="2">
      <t>リコウ</t>
    </rPh>
    <rPh sb="2" eb="4">
      <t>ホウコク</t>
    </rPh>
    <rPh sb="4" eb="5">
      <t>ショ</t>
    </rPh>
    <rPh sb="6" eb="8">
      <t>シュウキ</t>
    </rPh>
    <rPh sb="10" eb="12">
      <t>キイロ</t>
    </rPh>
    <rPh sb="15" eb="17">
      <t>ホウコク</t>
    </rPh>
    <rPh sb="17" eb="19">
      <t>シュウキ</t>
    </rPh>
    <rPh sb="20" eb="22">
      <t>ニュウリョク</t>
    </rPh>
    <phoneticPr fontId="1"/>
  </si>
  <si>
    <t xml:space="preserve"> ・報告周期を入力すると、休日取得計画表から自動的に情報</t>
    <rPh sb="2" eb="4">
      <t>ホウコク</t>
    </rPh>
    <rPh sb="4" eb="6">
      <t>シュウキ</t>
    </rPh>
    <rPh sb="7" eb="9">
      <t>ニュウリョク</t>
    </rPh>
    <rPh sb="13" eb="19">
      <t>キュウジツシュトクケイカク</t>
    </rPh>
    <rPh sb="19" eb="20">
      <t>ヒョウ</t>
    </rPh>
    <rPh sb="22" eb="24">
      <t>ジドウ</t>
    </rPh>
    <rPh sb="24" eb="25">
      <t>テキ</t>
    </rPh>
    <rPh sb="26" eb="28">
      <t>ジョウホウ</t>
    </rPh>
    <phoneticPr fontId="1"/>
  </si>
  <si>
    <t>〇 休日の取得計画作成（当初提出）</t>
    <rPh sb="7" eb="9">
      <t>ケイカク</t>
    </rPh>
    <rPh sb="9" eb="11">
      <t>サクセイ</t>
    </rPh>
    <rPh sb="12" eb="14">
      <t>トウショ</t>
    </rPh>
    <rPh sb="14" eb="16">
      <t>テイシュツ</t>
    </rPh>
    <phoneticPr fontId="1"/>
  </si>
  <si>
    <t>〇 休日取得計画の作成（休日取得計画の変更）</t>
    <rPh sb="2" eb="4">
      <t>キュウジツ</t>
    </rPh>
    <rPh sb="4" eb="6">
      <t>シュトク</t>
    </rPh>
    <rPh sb="6" eb="8">
      <t>ケイカク</t>
    </rPh>
    <rPh sb="9" eb="11">
      <t>サクセイ</t>
    </rPh>
    <rPh sb="12" eb="18">
      <t>キュウジツシュトクケイカク</t>
    </rPh>
    <rPh sb="19" eb="21">
      <t>ヘンコウ</t>
    </rPh>
    <phoneticPr fontId="1"/>
  </si>
  <si>
    <t>〇 休日取得計画の報告（工事完成時）</t>
    <rPh sb="2" eb="4">
      <t>キュウジツ</t>
    </rPh>
    <rPh sb="4" eb="6">
      <t>シュトク</t>
    </rPh>
    <rPh sb="6" eb="8">
      <t>ケイカク</t>
    </rPh>
    <rPh sb="9" eb="11">
      <t>ホウコク</t>
    </rPh>
    <rPh sb="12" eb="17">
      <t>コウジカンセイジ</t>
    </rPh>
    <phoneticPr fontId="1"/>
  </si>
  <si>
    <t>「休日取得計画表兼実施報告書」の各周期実施セルに休日情報を入力し、入力漏れがないか確認する</t>
    <rPh sb="16" eb="17">
      <t>カク</t>
    </rPh>
    <rPh sb="17" eb="19">
      <t>シュウキ</t>
    </rPh>
    <rPh sb="19" eb="21">
      <t>ジッシ</t>
    </rPh>
    <rPh sb="24" eb="28">
      <t>キュウジツジョウホウ</t>
    </rPh>
    <rPh sb="29" eb="31">
      <t>ニュウリョク</t>
    </rPh>
    <rPh sb="33" eb="36">
      <t>ニュウリョクモ</t>
    </rPh>
    <rPh sb="41" eb="43">
      <t>カクニン</t>
    </rPh>
    <phoneticPr fontId="1"/>
  </si>
  <si>
    <t>・工事完成日から周期末までの実施セルには「完」を入力してください。</t>
    <rPh sb="1" eb="6">
      <t>コウジカンセイビ</t>
    </rPh>
    <rPh sb="8" eb="10">
      <t>シュウキ</t>
    </rPh>
    <rPh sb="10" eb="11">
      <t>マツ</t>
    </rPh>
    <rPh sb="14" eb="16">
      <t>ジッシ</t>
    </rPh>
    <rPh sb="21" eb="22">
      <t>カン</t>
    </rPh>
    <rPh sb="24" eb="26">
      <t>ニュウリョク</t>
    </rPh>
    <phoneticPr fontId="1"/>
  </si>
  <si>
    <t>提出日を入力し、提出区分を「休日取得実施報告」とする（プルダウンから選択）</t>
    <rPh sb="0" eb="3">
      <t>テイシュツビ</t>
    </rPh>
    <rPh sb="4" eb="6">
      <t>ニュウリョク</t>
    </rPh>
    <rPh sb="8" eb="12">
      <t>テイシュツクブン</t>
    </rPh>
    <rPh sb="14" eb="16">
      <t>キュウジツ</t>
    </rPh>
    <rPh sb="16" eb="18">
      <t>シュトク</t>
    </rPh>
    <rPh sb="18" eb="20">
      <t>ジッシ</t>
    </rPh>
    <rPh sb="20" eb="22">
      <t>ホウコク</t>
    </rPh>
    <rPh sb="34" eb="36">
      <t>センタク</t>
    </rPh>
    <phoneticPr fontId="1"/>
  </si>
  <si>
    <t>⑳</t>
    <phoneticPr fontId="1"/>
  </si>
  <si>
    <t>㉑</t>
    <phoneticPr fontId="1"/>
  </si>
  <si>
    <t>㉒</t>
    <phoneticPr fontId="1"/>
  </si>
  <si>
    <t>全周期で完全週休２日の休日取得計画となっているか確認し、達成状況を入力（プルダウンから選択）</t>
    <rPh sb="0" eb="1">
      <t>ゼン</t>
    </rPh>
    <rPh sb="1" eb="3">
      <t>シュウキ</t>
    </rPh>
    <rPh sb="4" eb="6">
      <t>カンゼン</t>
    </rPh>
    <rPh sb="6" eb="8">
      <t>シュウキュウ</t>
    </rPh>
    <rPh sb="9" eb="10">
      <t>ニチ</t>
    </rPh>
    <rPh sb="11" eb="13">
      <t>キュウジツ</t>
    </rPh>
    <rPh sb="13" eb="15">
      <t>シュトク</t>
    </rPh>
    <rPh sb="15" eb="17">
      <t>ケイカク</t>
    </rPh>
    <rPh sb="24" eb="26">
      <t>カクニン</t>
    </rPh>
    <rPh sb="28" eb="32">
      <t>タッセイジョウキョウ</t>
    </rPh>
    <rPh sb="33" eb="35">
      <t>ニュウリョク</t>
    </rPh>
    <rPh sb="43" eb="45">
      <t>センタク</t>
    </rPh>
    <phoneticPr fontId="1"/>
  </si>
  <si>
    <t>全周期で完全週休２日の休日取得実施となっているか確認し、達成状況を入力（プルダウンから選択）</t>
    <rPh sb="0" eb="1">
      <t>ゼン</t>
    </rPh>
    <rPh sb="1" eb="3">
      <t>シュウキ</t>
    </rPh>
    <rPh sb="4" eb="6">
      <t>カンゼン</t>
    </rPh>
    <rPh sb="6" eb="8">
      <t>シュウキュウ</t>
    </rPh>
    <rPh sb="9" eb="10">
      <t>ニチ</t>
    </rPh>
    <rPh sb="11" eb="13">
      <t>キュウジツ</t>
    </rPh>
    <rPh sb="13" eb="15">
      <t>シュトク</t>
    </rPh>
    <rPh sb="15" eb="17">
      <t>ジッシ</t>
    </rPh>
    <rPh sb="24" eb="26">
      <t>カクニン</t>
    </rPh>
    <rPh sb="28" eb="32">
      <t>タッセイジョウキョウ</t>
    </rPh>
    <rPh sb="33" eb="35">
      <t>ニュウリョク</t>
    </rPh>
    <rPh sb="43" eb="45">
      <t>センタク</t>
    </rPh>
    <phoneticPr fontId="1"/>
  </si>
  <si>
    <t>㉓</t>
    <phoneticPr fontId="1"/>
  </si>
  <si>
    <t>《令和７年12月改正》</t>
    <rPh sb="1" eb="3">
      <t>レイワ</t>
    </rPh>
    <rPh sb="4" eb="5">
      <t>ネン</t>
    </rPh>
    <rPh sb="7" eb="8">
      <t>ガツ</t>
    </rPh>
    <rPh sb="8" eb="10">
      <t>カイセイ</t>
    </rPh>
    <phoneticPr fontId="1"/>
  </si>
  <si>
    <t>(暦上の土日の閉所では28.5％を満たさない場合においては直接修正すること）</t>
    <phoneticPr fontId="1"/>
  </si>
  <si>
    <t>・代休取得による「変更休日取得計画」の提出は不要です。</t>
    <rPh sb="1" eb="3">
      <t>ダイキュウ</t>
    </rPh>
    <rPh sb="3" eb="5">
      <t>シュトク</t>
    </rPh>
    <rPh sb="9" eb="11">
      <t>ヘンコウ</t>
    </rPh>
    <rPh sb="11" eb="13">
      <t>キュウジツ</t>
    </rPh>
    <rPh sb="13" eb="15">
      <t>シュトク</t>
    </rPh>
    <rPh sb="15" eb="17">
      <t>ケイカク</t>
    </rPh>
    <rPh sb="19" eb="21">
      <t>テイシュツ</t>
    </rPh>
    <rPh sb="22" eb="24">
      <t>フヨウ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</si>
</sst>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00_ "/>
    <numFmt numFmtId="177" formatCode="[$]ggge&quot;年&quot;m&quot;月&quot;d&quot;日&quot;;@" x16r2:formatCode16="[$-ja-JP-x-gannen]ggge&quot;年&quot;m&quot;月&quot;d&quot;日&quot;;@"/>
    <numFmt numFmtId="178" formatCode="[$-411]ggge&quot;年&quot;m&quot;月&quot;d&quot;日&quot;;@"/>
    <numFmt numFmtId="179" formatCode="[$-411]ge\.m\.d;@"/>
    <numFmt numFmtId="180" formatCode="d"/>
    <numFmt numFmtId="181" formatCode="m"/>
    <numFmt numFmtId="182" formatCode="[$-F800]dddd\,\ mmmm\ dd\,\ yyyy"/>
    <numFmt numFmtId="183" formatCode="m&quot;月&quot;d&quot;日&quot;;@"/>
    <numFmt numFmtId="184" formatCode="#"/>
    <numFmt numFmtId="185" formatCode="0_);[Red]\(0\)"/>
  </numFmts>
  <fonts count="56">
    <font>
      <sz val="11"/>
      <color theme="1"/>
      <name val="游ゴシック"/>
      <family val="2"/>
      <charset val="128"/>
      <scheme val="minor"/>
    </font>
    <font>
      <sz val="6"/>
      <name val="游ゴシック"/>
      <family val="2"/>
      <charset val="128"/>
      <scheme val="minor"/>
    </font>
    <font>
      <sz val="11"/>
      <color theme="1"/>
      <name val="HGP創英角ﾎﾟｯﾌﾟ体"/>
      <family val="3"/>
      <charset val="128"/>
    </font>
    <font>
      <sz val="11"/>
      <color theme="1"/>
      <name val="HGSｺﾞｼｯｸE"/>
      <family val="3"/>
      <charset val="128"/>
    </font>
    <font>
      <sz val="11"/>
      <color theme="1"/>
      <name val="HG丸ｺﾞｼｯｸM-PRO"/>
      <family val="3"/>
      <charset val="128"/>
    </font>
    <font>
      <sz val="6"/>
      <color theme="1"/>
      <name val="HG丸ｺﾞｼｯｸM-PRO"/>
      <family val="3"/>
      <charset val="128"/>
    </font>
    <font>
      <sz val="11"/>
      <color theme="1"/>
      <name val="HGPｺﾞｼｯｸE"/>
      <family val="3"/>
      <charset val="128"/>
    </font>
    <font>
      <sz val="6"/>
      <color theme="1"/>
      <name val="HGPｺﾞｼｯｸE"/>
      <family val="3"/>
      <charset val="128"/>
    </font>
    <font>
      <sz val="6"/>
      <color theme="1"/>
      <name val="HGP創英角ﾎﾟｯﾌﾟ体"/>
      <family val="3"/>
      <charset val="128"/>
    </font>
    <font>
      <sz val="16"/>
      <color theme="1"/>
      <name val="HGP創英角ﾎﾟｯﾌﾟ体"/>
      <family val="3"/>
      <charset val="128"/>
    </font>
    <font>
      <sz val="16"/>
      <color theme="1"/>
      <name val="HGPｺﾞｼｯｸE"/>
      <family val="3"/>
      <charset val="128"/>
    </font>
    <font>
      <sz val="16"/>
      <color theme="1"/>
      <name val="HGSｺﾞｼｯｸE"/>
      <family val="3"/>
      <charset val="128"/>
    </font>
    <font>
      <sz val="16"/>
      <color theme="1"/>
      <name val="HG丸ｺﾞｼｯｸM-PRO"/>
      <family val="3"/>
      <charset val="128"/>
    </font>
    <font>
      <sz val="16"/>
      <color theme="1"/>
      <name val="HGS創英角ｺﾞｼｯｸUB"/>
      <family val="3"/>
      <charset val="128"/>
    </font>
    <font>
      <sz val="28"/>
      <color theme="1"/>
      <name val="HGPｺﾞｼｯｸE"/>
      <family val="3"/>
      <charset val="128"/>
    </font>
    <font>
      <sz val="11"/>
      <color theme="1"/>
      <name val="HGP創英ﾌﾟﾚｾﾞﾝｽEB"/>
      <family val="1"/>
      <charset val="128"/>
    </font>
    <font>
      <sz val="24"/>
      <color theme="1"/>
      <name val="HGP創英ﾌﾟﾚｾﾞﾝｽEB"/>
      <family val="1"/>
      <charset val="128"/>
    </font>
    <font>
      <sz val="24"/>
      <color theme="1"/>
      <name val="HG丸ｺﾞｼｯｸM-PRO"/>
      <family val="3"/>
      <charset val="128"/>
    </font>
    <font>
      <sz val="12"/>
      <color theme="3"/>
      <name val="Arial"/>
      <family val="2"/>
    </font>
    <font>
      <sz val="11"/>
      <color theme="1"/>
      <name val="游ゴシック"/>
      <family val="2"/>
      <charset val="128"/>
      <scheme val="minor"/>
    </font>
    <font>
      <sz val="16"/>
      <color rgb="FFFF0000"/>
      <name val="HGSｺﾞｼｯｸE"/>
      <family val="3"/>
      <charset val="128"/>
    </font>
    <font>
      <sz val="24"/>
      <color rgb="FFFFC000"/>
      <name val="HGP創英ﾌﾟﾚｾﾞﾝｽEB"/>
      <family val="1"/>
      <charset val="128"/>
    </font>
    <font>
      <sz val="16"/>
      <name val="HGSｺﾞｼｯｸE"/>
      <family val="3"/>
      <charset val="128"/>
    </font>
    <font>
      <sz val="16"/>
      <color theme="1"/>
      <name val="HGP創英ﾌﾟﾚｾﾞﾝｽEB"/>
      <family val="1"/>
      <charset val="128"/>
    </font>
    <font>
      <sz val="16"/>
      <color theme="4" tint="-0.249977111117893"/>
      <name val="HGSｺﾞｼｯｸE"/>
      <family val="3"/>
      <charset val="128"/>
    </font>
    <font>
      <sz val="26"/>
      <color theme="1"/>
      <name val="HGSｺﾞｼｯｸE"/>
      <family val="3"/>
      <charset val="128"/>
    </font>
    <font>
      <sz val="18"/>
      <color theme="1"/>
      <name val="HGSｺﾞｼｯｸE"/>
      <family val="3"/>
      <charset val="128"/>
    </font>
    <font>
      <sz val="14"/>
      <color theme="1"/>
      <name val="HGSｺﾞｼｯｸE"/>
      <family val="3"/>
      <charset val="128"/>
    </font>
    <font>
      <b/>
      <sz val="11"/>
      <color theme="1"/>
      <name val="ＭＳ 明朝"/>
      <family val="1"/>
      <charset val="128"/>
    </font>
    <font>
      <sz val="11"/>
      <color theme="1"/>
      <name val="ＭＳ 明朝"/>
      <family val="1"/>
      <charset val="128"/>
    </font>
    <font>
      <sz val="18"/>
      <color theme="1"/>
      <name val="HG創英角ﾎﾟｯﾌﾟ体"/>
      <family val="3"/>
      <charset val="128"/>
    </font>
    <font>
      <sz val="22"/>
      <color theme="1"/>
      <name val="HG創英角ﾎﾟｯﾌﾟ体"/>
      <family val="3"/>
      <charset val="128"/>
    </font>
    <font>
      <sz val="20"/>
      <color theme="1"/>
      <name val="HG丸ｺﾞｼｯｸM-PRO"/>
      <family val="3"/>
      <charset val="128"/>
    </font>
    <font>
      <sz val="22"/>
      <color theme="1"/>
      <name val="メイリオ"/>
      <family val="3"/>
      <charset val="128"/>
    </font>
    <font>
      <sz val="22"/>
      <color theme="1"/>
      <name val="Yu Gothic UI Semilight"/>
      <family val="3"/>
      <charset val="128"/>
    </font>
    <font>
      <b/>
      <sz val="22"/>
      <color theme="1"/>
      <name val="HG創英角ﾎﾟｯﾌﾟ体"/>
      <family val="3"/>
      <charset val="128"/>
    </font>
    <font>
      <b/>
      <sz val="22"/>
      <color theme="1"/>
      <name val="Yu Gothic UI Semilight"/>
      <family val="3"/>
      <charset val="128"/>
    </font>
    <font>
      <b/>
      <sz val="22"/>
      <color theme="1"/>
      <name val="HGP創英角ｺﾞｼｯｸUB"/>
      <family val="3"/>
      <charset val="128"/>
    </font>
    <font>
      <sz val="22"/>
      <color rgb="FFFF0000"/>
      <name val="Yu Gothic UI Semilight"/>
      <family val="3"/>
      <charset val="128"/>
    </font>
    <font>
      <sz val="16"/>
      <color theme="1"/>
      <name val="Yu Gothic UI Semilight"/>
      <family val="3"/>
      <charset val="128"/>
    </font>
    <font>
      <sz val="20"/>
      <color theme="1"/>
      <name val="Yu Gothic UI Semilight"/>
      <family val="3"/>
      <charset val="128"/>
    </font>
    <font>
      <u/>
      <sz val="22"/>
      <color rgb="FFFF0000"/>
      <name val="Yu Gothic UI Semilight"/>
      <family val="3"/>
      <charset val="128"/>
    </font>
    <font>
      <sz val="22"/>
      <color theme="1"/>
      <name val="HGP創英角ｺﾞｼｯｸUB"/>
      <family val="3"/>
      <charset val="128"/>
    </font>
    <font>
      <b/>
      <sz val="26"/>
      <color theme="1"/>
      <name val="Yu Gothic UI Semilight"/>
      <family val="3"/>
      <charset val="128"/>
    </font>
    <font>
      <sz val="18"/>
      <color theme="1"/>
      <name val="Yu Gothic UI Semilight"/>
      <family val="3"/>
      <charset val="128"/>
    </font>
    <font>
      <b/>
      <sz val="14"/>
      <color theme="1"/>
      <name val="Yu Gothic UI Semilight"/>
      <family val="3"/>
      <charset val="128"/>
    </font>
    <font>
      <b/>
      <sz val="22"/>
      <name val="Yu Gothic UI Semilight"/>
      <family val="3"/>
      <charset val="128"/>
    </font>
    <font>
      <u/>
      <sz val="24"/>
      <color rgb="FFFFC000"/>
      <name val="HGP創英ﾌﾟﾚｾﾞﾝｽEB"/>
      <family val="1"/>
      <charset val="128"/>
    </font>
    <font>
      <sz val="11"/>
      <name val="ＭＳ 明朝"/>
      <family val="1"/>
      <charset val="128"/>
    </font>
    <font>
      <b/>
      <sz val="12"/>
      <color theme="1"/>
      <name val="ＭＳ 明朝"/>
      <family val="1"/>
      <charset val="128"/>
    </font>
    <font>
      <sz val="12"/>
      <color theme="1"/>
      <name val="ＭＳ 明朝"/>
      <family val="1"/>
      <charset val="128"/>
    </font>
    <font>
      <sz val="12"/>
      <color rgb="FFFF0000"/>
      <name val="ＭＳ 明朝"/>
      <family val="1"/>
      <charset val="128"/>
    </font>
    <font>
      <b/>
      <sz val="9"/>
      <color indexed="81"/>
      <name val="MS P ゴシック"/>
      <family val="3"/>
      <charset val="128"/>
    </font>
    <font>
      <b/>
      <sz val="12"/>
      <color theme="7"/>
      <name val="ＭＳ 明朝"/>
      <family val="1"/>
      <charset val="128"/>
    </font>
    <font>
      <u/>
      <sz val="12"/>
      <color theme="1"/>
      <name val="ＭＳ 明朝"/>
      <family val="1"/>
      <charset val="128"/>
    </font>
    <font>
      <sz val="11"/>
      <color theme="7"/>
      <name val="ＭＳ 明朝"/>
      <family val="1"/>
      <charset val="128"/>
    </font>
  </fonts>
  <fills count="8">
    <fill>
      <patternFill patternType="none"/>
    </fill>
    <fill>
      <patternFill patternType="gray125"/>
    </fill>
    <fill>
      <patternFill patternType="solid">
        <fgColor theme="4" tint="0.59999389629810485"/>
        <bgColor indexed="64"/>
      </patternFill>
    </fill>
    <fill>
      <patternFill patternType="solid">
        <fgColor rgb="FFFF9999"/>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C0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diagonal/>
    </border>
    <border>
      <left style="thin">
        <color indexed="64"/>
      </left>
      <right/>
      <top style="hair">
        <color indexed="64"/>
      </top>
      <bottom style="hair">
        <color indexed="64"/>
      </bottom>
      <diagonal/>
    </border>
    <border>
      <left style="medium">
        <color theme="8"/>
      </left>
      <right style="thin">
        <color indexed="64"/>
      </right>
      <top style="medium">
        <color theme="8"/>
      </top>
      <bottom/>
      <diagonal/>
    </border>
    <border>
      <left style="thin">
        <color indexed="64"/>
      </left>
      <right style="thin">
        <color indexed="64"/>
      </right>
      <top style="medium">
        <color theme="8"/>
      </top>
      <bottom/>
      <diagonal/>
    </border>
    <border>
      <left style="thin">
        <color indexed="64"/>
      </left>
      <right/>
      <top style="medium">
        <color theme="8"/>
      </top>
      <bottom/>
      <diagonal/>
    </border>
    <border>
      <left style="medium">
        <color indexed="64"/>
      </left>
      <right style="thin">
        <color indexed="64"/>
      </right>
      <top style="medium">
        <color theme="8"/>
      </top>
      <bottom style="thin">
        <color indexed="64"/>
      </bottom>
      <diagonal/>
    </border>
    <border>
      <left style="thin">
        <color indexed="64"/>
      </left>
      <right style="medium">
        <color indexed="64"/>
      </right>
      <top style="medium">
        <color theme="8"/>
      </top>
      <bottom style="thin">
        <color indexed="64"/>
      </bottom>
      <diagonal/>
    </border>
    <border>
      <left/>
      <right style="thin">
        <color indexed="64"/>
      </right>
      <top style="medium">
        <color theme="8"/>
      </top>
      <bottom style="thin">
        <color indexed="64"/>
      </bottom>
      <diagonal/>
    </border>
    <border>
      <left style="thin">
        <color indexed="64"/>
      </left>
      <right style="medium">
        <color theme="8"/>
      </right>
      <top style="medium">
        <color theme="8"/>
      </top>
      <bottom style="thin">
        <color indexed="64"/>
      </bottom>
      <diagonal/>
    </border>
    <border>
      <left style="medium">
        <color theme="8"/>
      </left>
      <right style="thin">
        <color indexed="64"/>
      </right>
      <top/>
      <bottom/>
      <diagonal/>
    </border>
    <border>
      <left style="thin">
        <color indexed="64"/>
      </left>
      <right style="medium">
        <color theme="8"/>
      </right>
      <top style="thin">
        <color indexed="64"/>
      </top>
      <bottom style="thin">
        <color indexed="64"/>
      </bottom>
      <diagonal/>
    </border>
    <border>
      <left style="thin">
        <color indexed="64"/>
      </left>
      <right style="thin">
        <color indexed="64"/>
      </right>
      <top style="thin">
        <color indexed="64"/>
      </top>
      <bottom style="medium">
        <color theme="8"/>
      </bottom>
      <diagonal/>
    </border>
    <border>
      <left/>
      <right style="thin">
        <color indexed="64"/>
      </right>
      <top style="thin">
        <color indexed="64"/>
      </top>
      <bottom style="medium">
        <color theme="8"/>
      </bottom>
      <diagonal/>
    </border>
    <border>
      <left style="thin">
        <color indexed="64"/>
      </left>
      <right/>
      <top style="thin">
        <color indexed="64"/>
      </top>
      <bottom style="medium">
        <color theme="8"/>
      </bottom>
      <diagonal/>
    </border>
    <border>
      <left style="medium">
        <color indexed="64"/>
      </left>
      <right style="thin">
        <color indexed="64"/>
      </right>
      <top style="thin">
        <color indexed="64"/>
      </top>
      <bottom style="medium">
        <color theme="8"/>
      </bottom>
      <diagonal/>
    </border>
    <border>
      <left style="thin">
        <color indexed="64"/>
      </left>
      <right style="medium">
        <color indexed="64"/>
      </right>
      <top style="thin">
        <color indexed="64"/>
      </top>
      <bottom style="medium">
        <color theme="8"/>
      </bottom>
      <diagonal/>
    </border>
    <border>
      <left style="thin">
        <color indexed="64"/>
      </left>
      <right style="medium">
        <color theme="8"/>
      </right>
      <top style="thin">
        <color indexed="64"/>
      </top>
      <bottom style="medium">
        <color theme="8"/>
      </bottom>
      <diagonal/>
    </border>
    <border>
      <left style="medium">
        <color theme="8"/>
      </left>
      <right style="thin">
        <color indexed="64"/>
      </right>
      <top style="medium">
        <color theme="8"/>
      </top>
      <bottom style="thin">
        <color indexed="64"/>
      </bottom>
      <diagonal/>
    </border>
    <border>
      <left style="medium">
        <color theme="8"/>
      </left>
      <right style="thin">
        <color indexed="64"/>
      </right>
      <top style="thin">
        <color indexed="64"/>
      </top>
      <bottom style="thin">
        <color indexed="64"/>
      </bottom>
      <diagonal/>
    </border>
    <border>
      <left style="thin">
        <color indexed="64"/>
      </left>
      <right style="medium">
        <color theme="8"/>
      </right>
      <top style="thin">
        <color indexed="64"/>
      </top>
      <bottom/>
      <diagonal/>
    </border>
    <border>
      <left style="medium">
        <color theme="8"/>
      </left>
      <right style="thin">
        <color indexed="64"/>
      </right>
      <top style="thin">
        <color indexed="64"/>
      </top>
      <bottom style="medium">
        <color theme="8"/>
      </bottom>
      <diagonal/>
    </border>
    <border>
      <left/>
      <right/>
      <top style="thin">
        <color indexed="64"/>
      </top>
      <bottom style="medium">
        <color theme="8"/>
      </bottom>
      <diagonal/>
    </border>
    <border>
      <left style="medium">
        <color theme="8"/>
      </left>
      <right style="thin">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diagonalDown="1">
      <left style="thin">
        <color indexed="64"/>
      </left>
      <right style="thin">
        <color indexed="64"/>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s>
  <cellStyleXfs count="3">
    <xf numFmtId="0" fontId="0" fillId="0" borderId="0">
      <alignment vertical="center"/>
    </xf>
    <xf numFmtId="0" fontId="18" fillId="0" borderId="0">
      <alignment vertical="center"/>
    </xf>
    <xf numFmtId="9" fontId="19" fillId="0" borderId="0" applyFont="0" applyFill="0" applyBorder="0" applyAlignment="0" applyProtection="0">
      <alignment vertical="center"/>
    </xf>
  </cellStyleXfs>
  <cellXfs count="481">
    <xf numFmtId="0" fontId="0" fillId="0" borderId="0" xfId="0">
      <alignment vertical="center"/>
    </xf>
    <xf numFmtId="0" fontId="4" fillId="0" borderId="0" xfId="0" applyFont="1" applyAlignment="1">
      <alignment vertical="center" shrinkToFit="1"/>
    </xf>
    <xf numFmtId="0" fontId="6" fillId="0" borderId="0" xfId="0" applyFont="1" applyAlignment="1">
      <alignment vertical="center" shrinkToFit="1"/>
    </xf>
    <xf numFmtId="0" fontId="2" fillId="0" borderId="0" xfId="0" applyFont="1" applyAlignment="1">
      <alignment vertical="center" shrinkToFit="1"/>
    </xf>
    <xf numFmtId="0" fontId="4" fillId="0" borderId="0" xfId="0" applyFont="1" applyAlignment="1">
      <alignment horizontal="center" vertical="center" shrinkToFit="1"/>
    </xf>
    <xf numFmtId="0" fontId="4" fillId="0" borderId="1" xfId="0" applyFont="1" applyBorder="1" applyAlignment="1">
      <alignment horizontal="center" vertical="center" shrinkToFit="1"/>
    </xf>
    <xf numFmtId="0" fontId="4" fillId="0" borderId="1" xfId="0" applyFont="1" applyBorder="1" applyAlignment="1">
      <alignment horizontal="center" vertical="center" textRotation="255" shrinkToFit="1"/>
    </xf>
    <xf numFmtId="0" fontId="4" fillId="0" borderId="0" xfId="0" applyFont="1" applyAlignment="1">
      <alignment vertical="center" textRotation="255" shrinkToFit="1"/>
    </xf>
    <xf numFmtId="0" fontId="4" fillId="0" borderId="3" xfId="0" applyFont="1" applyBorder="1" applyAlignment="1">
      <alignment horizontal="center" vertical="center" shrinkToFit="1"/>
    </xf>
    <xf numFmtId="0" fontId="5" fillId="0" borderId="0" xfId="0" applyFont="1" applyAlignment="1">
      <alignment vertical="center" shrinkToFit="1"/>
    </xf>
    <xf numFmtId="0" fontId="15" fillId="0" borderId="0" xfId="0" applyFont="1" applyAlignment="1">
      <alignment vertical="center" shrinkToFit="1"/>
    </xf>
    <xf numFmtId="0" fontId="10" fillId="0" borderId="1" xfId="0" applyFont="1" applyBorder="1" applyAlignment="1">
      <alignment horizontal="center" vertical="center" shrinkToFit="1"/>
    </xf>
    <xf numFmtId="0" fontId="4" fillId="0" borderId="1" xfId="0" applyFont="1" applyBorder="1" applyAlignment="1">
      <alignment vertical="center" shrinkToFit="1"/>
    </xf>
    <xf numFmtId="0" fontId="6" fillId="0" borderId="11" xfId="0" applyFont="1" applyBorder="1" applyAlignment="1">
      <alignment vertical="center" shrinkToFit="1"/>
    </xf>
    <xf numFmtId="0" fontId="4" fillId="0" borderId="12" xfId="0" applyFont="1" applyBorder="1" applyAlignment="1">
      <alignment vertical="center" shrinkToFit="1"/>
    </xf>
    <xf numFmtId="0" fontId="2" fillId="0" borderId="12" xfId="0" applyFont="1" applyBorder="1" applyAlignment="1">
      <alignment vertical="center" shrinkToFit="1"/>
    </xf>
    <xf numFmtId="0" fontId="4" fillId="0" borderId="13" xfId="0" applyFont="1" applyBorder="1" applyAlignment="1">
      <alignment vertical="center" shrinkToFit="1"/>
    </xf>
    <xf numFmtId="0" fontId="6" fillId="0" borderId="14" xfId="0" applyFont="1" applyBorder="1" applyAlignment="1">
      <alignment vertical="center" shrinkToFit="1"/>
    </xf>
    <xf numFmtId="0" fontId="4" fillId="0" borderId="0" xfId="0" applyFont="1" applyBorder="1" applyAlignment="1">
      <alignment vertical="center" shrinkToFit="1"/>
    </xf>
    <xf numFmtId="0" fontId="2" fillId="0" borderId="0" xfId="0" applyFont="1" applyBorder="1" applyAlignment="1">
      <alignment vertical="center" shrinkToFit="1"/>
    </xf>
    <xf numFmtId="0" fontId="4" fillId="0" borderId="15" xfId="0" applyFont="1" applyBorder="1" applyAlignment="1">
      <alignment vertical="center" shrinkToFit="1"/>
    </xf>
    <xf numFmtId="0" fontId="10" fillId="0" borderId="0" xfId="0" applyFont="1" applyBorder="1" applyAlignment="1">
      <alignment horizontal="center" vertical="center" shrinkToFit="1"/>
    </xf>
    <xf numFmtId="0" fontId="4" fillId="0" borderId="0" xfId="0" applyFont="1" applyBorder="1" applyAlignment="1">
      <alignment horizontal="center" vertical="center" shrinkToFit="1"/>
    </xf>
    <xf numFmtId="0" fontId="7" fillId="0" borderId="14" xfId="0" applyFont="1" applyBorder="1" applyAlignment="1">
      <alignment vertical="center" shrinkToFit="1"/>
    </xf>
    <xf numFmtId="14" fontId="5" fillId="0" borderId="0" xfId="0" applyNumberFormat="1" applyFont="1" applyBorder="1" applyAlignment="1">
      <alignment horizontal="center" vertical="center" shrinkToFit="1"/>
    </xf>
    <xf numFmtId="0" fontId="8" fillId="0" borderId="0" xfId="0" applyFont="1" applyBorder="1" applyAlignment="1">
      <alignment vertical="center" shrinkToFit="1"/>
    </xf>
    <xf numFmtId="0" fontId="5" fillId="0" borderId="0" xfId="0" applyFont="1" applyBorder="1" applyAlignment="1">
      <alignment vertical="center" shrinkToFit="1"/>
    </xf>
    <xf numFmtId="0" fontId="5" fillId="0" borderId="15" xfId="0" applyFont="1" applyBorder="1" applyAlignment="1">
      <alignment vertical="center" shrinkToFit="1"/>
    </xf>
    <xf numFmtId="0" fontId="6" fillId="4" borderId="0" xfId="0" applyFont="1" applyFill="1" applyAlignment="1">
      <alignment vertical="center" shrinkToFit="1"/>
    </xf>
    <xf numFmtId="0" fontId="4" fillId="4" borderId="0" xfId="0" applyFont="1" applyFill="1" applyAlignment="1">
      <alignment horizontal="center" vertical="center" shrinkToFit="1"/>
    </xf>
    <xf numFmtId="0" fontId="4" fillId="4" borderId="0" xfId="0" applyFont="1" applyFill="1" applyAlignment="1">
      <alignment vertical="center" shrinkToFit="1"/>
    </xf>
    <xf numFmtId="0" fontId="4" fillId="0" borderId="0" xfId="0" applyFont="1" applyFill="1" applyAlignment="1">
      <alignment vertical="center" shrinkToFit="1"/>
    </xf>
    <xf numFmtId="0" fontId="15" fillId="0" borderId="0" xfId="0" applyFont="1" applyFill="1" applyAlignment="1">
      <alignment vertical="center" shrinkToFit="1"/>
    </xf>
    <xf numFmtId="14" fontId="15" fillId="0" borderId="14" xfId="0" applyNumberFormat="1" applyFont="1" applyFill="1" applyBorder="1" applyAlignment="1">
      <alignment vertical="center" shrinkToFit="1"/>
    </xf>
    <xf numFmtId="14" fontId="15" fillId="0" borderId="0" xfId="0" applyNumberFormat="1" applyFont="1" applyFill="1" applyBorder="1" applyAlignment="1">
      <alignment vertical="center" shrinkToFit="1"/>
    </xf>
    <xf numFmtId="0" fontId="3" fillId="0" borderId="0" xfId="0" applyFont="1" applyFill="1" applyAlignment="1">
      <alignment vertical="center" shrinkToFit="1"/>
    </xf>
    <xf numFmtId="0" fontId="4" fillId="0" borderId="0" xfId="0" applyFont="1" applyFill="1" applyAlignment="1">
      <alignment horizontal="center" vertical="center" shrinkToFit="1"/>
    </xf>
    <xf numFmtId="0" fontId="3" fillId="0" borderId="0" xfId="0" applyFont="1" applyFill="1" applyAlignment="1">
      <alignment horizontal="center" vertical="center" shrinkToFit="1"/>
    </xf>
    <xf numFmtId="176" fontId="3" fillId="0" borderId="0" xfId="0" applyNumberFormat="1" applyFont="1" applyFill="1" applyAlignment="1">
      <alignment vertical="center" shrinkToFit="1"/>
    </xf>
    <xf numFmtId="0" fontId="4" fillId="0" borderId="0" xfId="0" applyFont="1" applyFill="1" applyAlignment="1">
      <alignment vertical="center" textRotation="255" shrinkToFit="1"/>
    </xf>
    <xf numFmtId="176" fontId="3" fillId="0" borderId="0" xfId="0" applyNumberFormat="1" applyFont="1" applyFill="1" applyAlignment="1">
      <alignment vertical="center" textRotation="255" shrinkToFit="1"/>
    </xf>
    <xf numFmtId="176" fontId="3" fillId="0" borderId="19" xfId="0" applyNumberFormat="1" applyFont="1" applyFill="1" applyBorder="1" applyAlignment="1">
      <alignment vertical="center" shrinkToFit="1"/>
    </xf>
    <xf numFmtId="176" fontId="3" fillId="0" borderId="21" xfId="0" applyNumberFormat="1" applyFont="1" applyFill="1" applyBorder="1" applyAlignment="1">
      <alignment vertical="center" shrinkToFit="1"/>
    </xf>
    <xf numFmtId="0" fontId="5" fillId="0" borderId="0" xfId="0" applyFont="1" applyFill="1" applyAlignment="1">
      <alignment vertical="center" shrinkToFit="1"/>
    </xf>
    <xf numFmtId="0" fontId="5" fillId="0" borderId="0" xfId="0" applyFont="1" applyFill="1" applyBorder="1" applyAlignment="1">
      <alignment vertical="center" shrinkToFit="1"/>
    </xf>
    <xf numFmtId="0" fontId="6" fillId="0" borderId="16" xfId="0" applyFont="1" applyBorder="1" applyAlignment="1">
      <alignment vertical="center" shrinkToFit="1"/>
    </xf>
    <xf numFmtId="14" fontId="5" fillId="0" borderId="17" xfId="0" applyNumberFormat="1" applyFont="1" applyBorder="1" applyAlignment="1">
      <alignment horizontal="center" vertical="center" shrinkToFit="1"/>
    </xf>
    <xf numFmtId="0" fontId="2" fillId="0" borderId="17" xfId="0" applyFont="1" applyBorder="1" applyAlignment="1">
      <alignment vertical="center" shrinkToFit="1"/>
    </xf>
    <xf numFmtId="0" fontId="4" fillId="0" borderId="17" xfId="0" applyFont="1" applyBorder="1" applyAlignment="1">
      <alignment vertical="center" shrinkToFit="1"/>
    </xf>
    <xf numFmtId="0" fontId="4" fillId="0" borderId="18" xfId="0" applyFont="1" applyBorder="1" applyAlignment="1">
      <alignment vertical="center" shrinkToFit="1"/>
    </xf>
    <xf numFmtId="0" fontId="4" fillId="0" borderId="2" xfId="0" applyFont="1" applyBorder="1" applyAlignment="1">
      <alignment horizontal="center" vertical="center" shrinkToFit="1"/>
    </xf>
    <xf numFmtId="0" fontId="5" fillId="0" borderId="0" xfId="0" applyFont="1" applyBorder="1" applyAlignment="1">
      <alignment horizontal="center" vertical="center" shrinkToFit="1"/>
    </xf>
    <xf numFmtId="0" fontId="5" fillId="0" borderId="17"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5" xfId="0" applyFont="1" applyBorder="1" applyAlignment="1">
      <alignment horizontal="center" vertical="center" shrinkToFit="1"/>
    </xf>
    <xf numFmtId="0" fontId="4" fillId="0" borderId="1" xfId="0" applyFont="1" applyBorder="1" applyAlignment="1">
      <alignment vertical="center"/>
    </xf>
    <xf numFmtId="0" fontId="4" fillId="0" borderId="19" xfId="0" applyFont="1" applyBorder="1" applyAlignment="1">
      <alignment vertical="center"/>
    </xf>
    <xf numFmtId="0" fontId="4" fillId="0" borderId="20" xfId="0" applyFont="1" applyBorder="1" applyAlignment="1">
      <alignment vertical="center" shrinkToFit="1"/>
    </xf>
    <xf numFmtId="0" fontId="4" fillId="0" borderId="21" xfId="0" applyFont="1" applyBorder="1" applyAlignment="1">
      <alignment vertical="center" shrinkToFit="1"/>
    </xf>
    <xf numFmtId="0" fontId="4" fillId="0" borderId="19" xfId="0" applyFont="1" applyBorder="1" applyAlignment="1">
      <alignment vertical="center" shrinkToFit="1"/>
    </xf>
    <xf numFmtId="0" fontId="4" fillId="0" borderId="0" xfId="0" applyNumberFormat="1" applyFont="1" applyFill="1" applyAlignment="1">
      <alignment vertical="center" shrinkToFit="1"/>
    </xf>
    <xf numFmtId="0" fontId="16" fillId="0" borderId="0" xfId="0" applyFont="1" applyFill="1" applyAlignment="1">
      <alignment horizontal="right" vertical="center" shrinkToFit="1"/>
    </xf>
    <xf numFmtId="0" fontId="22" fillId="0" borderId="0" xfId="0" applyFont="1" applyFill="1" applyBorder="1" applyAlignment="1">
      <alignment horizontal="center" vertical="center" shrinkToFit="1"/>
    </xf>
    <xf numFmtId="0" fontId="6" fillId="0" borderId="5" xfId="0" applyFont="1" applyBorder="1" applyAlignment="1">
      <alignment vertical="center" shrinkToFit="1"/>
    </xf>
    <xf numFmtId="14" fontId="15" fillId="0" borderId="0" xfId="0" applyNumberFormat="1" applyFont="1" applyFill="1" applyBorder="1" applyAlignment="1">
      <alignment horizontal="center" vertical="center" shrinkToFit="1"/>
    </xf>
    <xf numFmtId="177" fontId="16" fillId="0" borderId="0" xfId="0" applyNumberFormat="1" applyFont="1" applyFill="1" applyAlignment="1">
      <alignment horizontal="left" vertical="center" shrinkToFit="1"/>
    </xf>
    <xf numFmtId="0" fontId="16" fillId="0" borderId="0" xfId="0" applyFont="1" applyFill="1" applyAlignment="1">
      <alignment horizontal="center" vertical="center" shrinkToFit="1"/>
    </xf>
    <xf numFmtId="0" fontId="17" fillId="0" borderId="0" xfId="0" applyFont="1" applyFill="1" applyAlignment="1">
      <alignment horizontal="center" vertical="center" shrinkToFit="1"/>
    </xf>
    <xf numFmtId="0" fontId="15" fillId="0" borderId="0" xfId="0" applyFont="1" applyFill="1" applyBorder="1" applyAlignment="1">
      <alignment vertical="center" shrinkToFit="1"/>
    </xf>
    <xf numFmtId="0" fontId="16" fillId="0" borderId="0" xfId="0" applyFont="1" applyFill="1" applyAlignment="1">
      <alignment vertical="center" shrinkToFit="1"/>
    </xf>
    <xf numFmtId="0" fontId="16" fillId="0" borderId="0" xfId="0" applyFont="1" applyFill="1" applyBorder="1" applyAlignment="1">
      <alignment vertical="center" shrinkToFit="1"/>
    </xf>
    <xf numFmtId="0" fontId="16" fillId="0" borderId="0" xfId="0" applyNumberFormat="1" applyFont="1" applyFill="1" applyAlignment="1">
      <alignment horizontal="left" vertical="center" shrinkToFit="1"/>
    </xf>
    <xf numFmtId="0" fontId="4" fillId="0" borderId="0" xfId="0" applyNumberFormat="1" applyFont="1" applyAlignment="1">
      <alignment vertical="center" shrinkToFit="1"/>
    </xf>
    <xf numFmtId="0" fontId="22" fillId="0" borderId="23" xfId="0" applyFont="1" applyFill="1" applyBorder="1" applyAlignment="1">
      <alignment horizontal="center" vertical="center" shrinkToFit="1"/>
    </xf>
    <xf numFmtId="14" fontId="4" fillId="0" borderId="0" xfId="0" applyNumberFormat="1" applyFont="1" applyFill="1" applyAlignment="1">
      <alignment vertical="center" shrinkToFit="1"/>
    </xf>
    <xf numFmtId="0" fontId="26" fillId="4" borderId="40" xfId="0" applyFont="1" applyFill="1" applyBorder="1" applyAlignment="1">
      <alignment vertical="center" shrinkToFit="1"/>
    </xf>
    <xf numFmtId="0" fontId="26" fillId="4" borderId="17" xfId="0" applyFont="1" applyFill="1" applyBorder="1" applyAlignment="1">
      <alignment horizontal="center" vertical="top" shrinkToFit="1"/>
    </xf>
    <xf numFmtId="0" fontId="26" fillId="4" borderId="17" xfId="0" applyFont="1" applyFill="1" applyBorder="1" applyAlignment="1">
      <alignment horizontal="left" vertical="top" shrinkToFit="1"/>
    </xf>
    <xf numFmtId="0" fontId="26" fillId="4" borderId="17" xfId="0" applyFont="1" applyFill="1" applyBorder="1" applyAlignment="1">
      <alignment horizontal="left" vertical="center" shrinkToFit="1"/>
    </xf>
    <xf numFmtId="0" fontId="10" fillId="0" borderId="3" xfId="0" applyFont="1" applyBorder="1" applyAlignment="1">
      <alignment horizontal="center" vertical="center" shrinkToFit="1"/>
    </xf>
    <xf numFmtId="0" fontId="26" fillId="4" borderId="0" xfId="0" applyFont="1" applyFill="1" applyBorder="1" applyAlignment="1">
      <alignment vertical="center" shrinkToFit="1"/>
    </xf>
    <xf numFmtId="0" fontId="26" fillId="4" borderId="0" xfId="0" applyFont="1" applyFill="1" applyBorder="1" applyAlignment="1">
      <alignment horizontal="left" vertical="center" shrinkToFit="1"/>
    </xf>
    <xf numFmtId="0" fontId="26" fillId="4" borderId="0" xfId="0" applyFont="1" applyFill="1" applyBorder="1" applyAlignment="1">
      <alignment vertical="top" shrinkToFit="1"/>
    </xf>
    <xf numFmtId="0" fontId="27" fillId="4" borderId="0" xfId="0" applyFont="1" applyFill="1" applyBorder="1" applyAlignment="1">
      <alignment vertical="center" wrapText="1" shrinkToFit="1"/>
    </xf>
    <xf numFmtId="0" fontId="26" fillId="4" borderId="0" xfId="0" applyFont="1" applyFill="1" applyBorder="1" applyAlignment="1">
      <alignment horizontal="center" vertical="top" shrinkToFit="1"/>
    </xf>
    <xf numFmtId="0" fontId="26" fillId="4" borderId="0" xfId="0" applyFont="1" applyFill="1" applyBorder="1" applyAlignment="1">
      <alignment horizontal="left" vertical="top" shrinkToFit="1"/>
    </xf>
    <xf numFmtId="0" fontId="26" fillId="4" borderId="0" xfId="0" applyFont="1" applyFill="1" applyBorder="1" applyAlignment="1">
      <alignment horizontal="center" vertical="center" shrinkToFit="1"/>
    </xf>
    <xf numFmtId="0" fontId="26" fillId="4" borderId="0" xfId="0" applyFont="1" applyFill="1" applyBorder="1" applyAlignment="1">
      <alignment horizontal="left" vertical="center" shrinkToFit="1"/>
    </xf>
    <xf numFmtId="0" fontId="26" fillId="4" borderId="1" xfId="0" applyFont="1" applyFill="1" applyBorder="1" applyAlignment="1">
      <alignment vertical="top" wrapText="1" shrinkToFit="1"/>
    </xf>
    <xf numFmtId="0" fontId="26" fillId="4" borderId="16" xfId="0" applyFont="1" applyFill="1" applyBorder="1" applyAlignment="1">
      <alignment horizontal="left" vertical="top" shrinkToFit="1"/>
    </xf>
    <xf numFmtId="0" fontId="26" fillId="4" borderId="0" xfId="0" applyFont="1" applyFill="1" applyBorder="1" applyAlignment="1">
      <alignment horizontal="left" vertical="center" wrapText="1" shrinkToFit="1"/>
    </xf>
    <xf numFmtId="0" fontId="29" fillId="0" borderId="0" xfId="0" applyFont="1">
      <alignment vertical="center"/>
    </xf>
    <xf numFmtId="0" fontId="29" fillId="0" borderId="0" xfId="0" applyFont="1" applyAlignment="1">
      <alignment vertical="center"/>
    </xf>
    <xf numFmtId="0" fontId="29" fillId="0" borderId="0" xfId="0" applyFont="1" applyAlignment="1">
      <alignment horizontal="center" vertical="center"/>
    </xf>
    <xf numFmtId="0" fontId="28" fillId="0" borderId="0" xfId="0" applyFont="1" applyAlignment="1">
      <alignment horizontal="center" vertical="center"/>
    </xf>
    <xf numFmtId="179" fontId="29" fillId="0" borderId="0" xfId="0" applyNumberFormat="1" applyFont="1">
      <alignment vertical="center"/>
    </xf>
    <xf numFmtId="0" fontId="29" fillId="0" borderId="1" xfId="0" applyFont="1" applyBorder="1">
      <alignment vertical="center"/>
    </xf>
    <xf numFmtId="0" fontId="29" fillId="0" borderId="15" xfId="0" applyFont="1" applyBorder="1" applyAlignment="1">
      <alignment horizontal="center" vertical="center"/>
    </xf>
    <xf numFmtId="0" fontId="29" fillId="0" borderId="1" xfId="0" applyFont="1" applyBorder="1" applyAlignment="1">
      <alignment vertical="center"/>
    </xf>
    <xf numFmtId="0" fontId="26" fillId="4" borderId="14" xfId="0" applyFont="1" applyFill="1" applyBorder="1" applyAlignment="1">
      <alignment horizontal="center" vertical="center" shrinkToFit="1"/>
    </xf>
    <xf numFmtId="0" fontId="26" fillId="4" borderId="0" xfId="0" applyFont="1" applyFill="1" applyBorder="1" applyAlignment="1">
      <alignment horizontal="center" vertical="center" shrinkToFit="1"/>
    </xf>
    <xf numFmtId="0" fontId="27" fillId="4" borderId="0" xfId="0" applyFont="1" applyFill="1" applyBorder="1" applyAlignment="1">
      <alignment horizontal="left" vertical="center" wrapText="1" shrinkToFit="1"/>
    </xf>
    <xf numFmtId="0" fontId="27" fillId="4" borderId="0" xfId="0" applyFont="1" applyFill="1" applyBorder="1" applyAlignment="1">
      <alignment horizontal="left" vertical="center" shrinkToFit="1"/>
    </xf>
    <xf numFmtId="0" fontId="26" fillId="4" borderId="0" xfId="0" applyFont="1" applyFill="1" applyBorder="1" applyAlignment="1">
      <alignment horizontal="left" vertical="center" shrinkToFit="1"/>
    </xf>
    <xf numFmtId="0" fontId="29" fillId="0" borderId="0" xfId="0" applyFont="1" applyBorder="1">
      <alignment vertical="center"/>
    </xf>
    <xf numFmtId="0" fontId="29" fillId="0" borderId="0" xfId="0" applyNumberFormat="1" applyFont="1" applyAlignment="1">
      <alignment vertical="center" wrapText="1"/>
    </xf>
    <xf numFmtId="0" fontId="29" fillId="0" borderId="1" xfId="0" applyFont="1" applyBorder="1" applyAlignment="1">
      <alignment horizontal="center" vertical="center"/>
    </xf>
    <xf numFmtId="14" fontId="29" fillId="0" borderId="0" xfId="0" applyNumberFormat="1" applyFont="1">
      <alignment vertical="center"/>
    </xf>
    <xf numFmtId="56" fontId="29" fillId="0" borderId="0" xfId="0" applyNumberFormat="1" applyFont="1">
      <alignment vertical="center"/>
    </xf>
    <xf numFmtId="0" fontId="26" fillId="4" borderId="15" xfId="0" applyFont="1" applyFill="1" applyBorder="1" applyAlignment="1">
      <alignment horizontal="center" vertical="center" shrinkToFit="1"/>
    </xf>
    <xf numFmtId="0" fontId="26" fillId="4" borderId="15" xfId="0" applyFont="1" applyFill="1" applyBorder="1" applyAlignment="1">
      <alignment vertical="top" wrapText="1" shrinkToFit="1"/>
    </xf>
    <xf numFmtId="0" fontId="26" fillId="4" borderId="15" xfId="0" applyFont="1" applyFill="1" applyBorder="1" applyAlignment="1">
      <alignment vertical="top" shrinkToFit="1"/>
    </xf>
    <xf numFmtId="0" fontId="26" fillId="4" borderId="18" xfId="0" applyFont="1" applyFill="1" applyBorder="1" applyAlignment="1">
      <alignment vertical="top" shrinkToFit="1"/>
    </xf>
    <xf numFmtId="0" fontId="5" fillId="4" borderId="14" xfId="0" applyFont="1" applyFill="1" applyBorder="1" applyAlignment="1">
      <alignment vertical="center" shrinkToFit="1"/>
    </xf>
    <xf numFmtId="0" fontId="5" fillId="4" borderId="0" xfId="0" applyFont="1" applyFill="1" applyBorder="1" applyAlignment="1">
      <alignment vertical="center" shrinkToFit="1"/>
    </xf>
    <xf numFmtId="0" fontId="29" fillId="0" borderId="0" xfId="0" applyFont="1" applyBorder="1" applyAlignment="1">
      <alignment horizontal="center" vertical="center"/>
    </xf>
    <xf numFmtId="0" fontId="29" fillId="5" borderId="1" xfId="0" applyFont="1" applyFill="1" applyBorder="1" applyAlignment="1">
      <alignment horizontal="center" vertical="center"/>
    </xf>
    <xf numFmtId="0" fontId="34" fillId="0" borderId="0" xfId="0" applyFont="1" applyFill="1">
      <alignment vertical="center"/>
    </xf>
    <xf numFmtId="49" fontId="44" fillId="0" borderId="0" xfId="0" applyNumberFormat="1" applyFont="1" applyFill="1">
      <alignment vertical="center"/>
    </xf>
    <xf numFmtId="0" fontId="44" fillId="0" borderId="0" xfId="0" applyFont="1" applyFill="1">
      <alignment vertical="center"/>
    </xf>
    <xf numFmtId="0" fontId="30" fillId="0" borderId="0" xfId="0" applyFont="1" applyFill="1">
      <alignment vertical="center"/>
    </xf>
    <xf numFmtId="0" fontId="36" fillId="0" borderId="0" xfId="0" applyFont="1" applyFill="1">
      <alignment vertical="center"/>
    </xf>
    <xf numFmtId="0" fontId="42" fillId="0" borderId="0" xfId="0" applyFont="1" applyFill="1">
      <alignment vertical="center"/>
    </xf>
    <xf numFmtId="0" fontId="34" fillId="0" borderId="0" xfId="0" applyFont="1" applyFill="1" applyAlignment="1">
      <alignment vertical="top"/>
    </xf>
    <xf numFmtId="49" fontId="34" fillId="0" borderId="0" xfId="0" applyNumberFormat="1" applyFont="1" applyFill="1" applyAlignment="1">
      <alignment vertical="top"/>
    </xf>
    <xf numFmtId="0" fontId="33" fillId="0" borderId="0" xfId="0" applyFont="1" applyFill="1" applyAlignment="1">
      <alignment vertical="top"/>
    </xf>
    <xf numFmtId="0" fontId="34" fillId="0" borderId="0" xfId="0" applyFont="1" applyFill="1" applyAlignment="1">
      <alignment horizontal="left" vertical="top" wrapText="1"/>
    </xf>
    <xf numFmtId="49" fontId="36" fillId="0" borderId="0" xfId="0" applyNumberFormat="1" applyFont="1" applyFill="1" applyAlignment="1">
      <alignment vertical="center"/>
    </xf>
    <xf numFmtId="0" fontId="33" fillId="0" borderId="0" xfId="0" applyFont="1" applyFill="1">
      <alignment vertical="center"/>
    </xf>
    <xf numFmtId="49" fontId="36" fillId="0" borderId="0" xfId="0" applyNumberFormat="1" applyFont="1" applyFill="1">
      <alignment vertical="center"/>
    </xf>
    <xf numFmtId="0" fontId="35" fillId="0" borderId="0" xfId="0" applyFont="1" applyFill="1">
      <alignment vertical="center"/>
    </xf>
    <xf numFmtId="0" fontId="31" fillId="0" borderId="0" xfId="0" applyFont="1" applyFill="1">
      <alignment vertical="center"/>
    </xf>
    <xf numFmtId="0" fontId="41" fillId="0" borderId="0" xfId="0" applyFont="1" applyFill="1" applyAlignment="1">
      <alignment vertical="top"/>
    </xf>
    <xf numFmtId="0" fontId="38" fillId="0" borderId="0" xfId="0" applyFont="1" applyFill="1" applyAlignment="1">
      <alignment vertical="top"/>
    </xf>
    <xf numFmtId="0" fontId="37" fillId="0" borderId="0" xfId="0" applyFont="1" applyFill="1">
      <alignment vertical="center"/>
    </xf>
    <xf numFmtId="49" fontId="34" fillId="0" borderId="0" xfId="0" applyNumberFormat="1" applyFont="1" applyFill="1">
      <alignment vertical="center"/>
    </xf>
    <xf numFmtId="0" fontId="34" fillId="0" borderId="0" xfId="0" applyFont="1" applyFill="1" applyAlignment="1">
      <alignment horizontal="center" vertical="center" shrinkToFit="1"/>
    </xf>
    <xf numFmtId="0" fontId="34" fillId="0" borderId="24" xfId="0" applyFont="1" applyFill="1" applyBorder="1" applyAlignment="1">
      <alignment horizontal="center" vertical="center"/>
    </xf>
    <xf numFmtId="0" fontId="34" fillId="0" borderId="0" xfId="0" applyFont="1" applyFill="1" applyAlignment="1">
      <alignment vertical="top" shrinkToFit="1"/>
    </xf>
    <xf numFmtId="49" fontId="30" fillId="0" borderId="0" xfId="0" applyNumberFormat="1" applyFont="1" applyFill="1">
      <alignment vertical="center"/>
    </xf>
    <xf numFmtId="49" fontId="36" fillId="0" borderId="0" xfId="0" applyNumberFormat="1" applyFont="1" applyFill="1" applyAlignment="1">
      <alignment horizontal="center" vertical="center"/>
    </xf>
    <xf numFmtId="49" fontId="34" fillId="0" borderId="0" xfId="0" applyNumberFormat="1" applyFont="1" applyFill="1" applyAlignment="1">
      <alignment horizontal="center" vertical="top"/>
    </xf>
    <xf numFmtId="0" fontId="34" fillId="0" borderId="12" xfId="0" applyFont="1" applyFill="1" applyBorder="1" applyAlignment="1">
      <alignment horizontal="center" vertical="center" shrinkToFit="1"/>
    </xf>
    <xf numFmtId="0" fontId="34" fillId="0" borderId="2" xfId="0" applyFont="1" applyFill="1" applyBorder="1" applyAlignment="1">
      <alignment horizontal="center" vertical="center"/>
    </xf>
    <xf numFmtId="0" fontId="34" fillId="0" borderId="12" xfId="0" applyFont="1" applyFill="1" applyBorder="1" applyAlignment="1">
      <alignment horizontal="left" vertical="center"/>
    </xf>
    <xf numFmtId="0" fontId="34" fillId="0" borderId="12" xfId="0" applyFont="1" applyFill="1" applyBorder="1" applyAlignment="1">
      <alignment vertical="top" shrinkToFit="1"/>
    </xf>
    <xf numFmtId="0" fontId="34" fillId="0" borderId="12" xfId="0" applyFont="1" applyFill="1" applyBorder="1">
      <alignment vertical="center"/>
    </xf>
    <xf numFmtId="0" fontId="34" fillId="0" borderId="13" xfId="0" applyFont="1" applyFill="1" applyBorder="1">
      <alignment vertical="center"/>
    </xf>
    <xf numFmtId="0" fontId="34" fillId="0" borderId="0" xfId="0" applyFont="1" applyFill="1" applyBorder="1" applyAlignment="1">
      <alignment horizontal="center" vertical="center" shrinkToFit="1"/>
    </xf>
    <xf numFmtId="0" fontId="34" fillId="0" borderId="0" xfId="0" applyFont="1" applyFill="1" applyBorder="1" applyAlignment="1">
      <alignment horizontal="left" vertical="center"/>
    </xf>
    <xf numFmtId="0" fontId="34" fillId="0" borderId="0" xfId="0" applyFont="1" applyFill="1" applyBorder="1" applyAlignment="1">
      <alignment vertical="top" shrinkToFit="1"/>
    </xf>
    <xf numFmtId="0" fontId="34" fillId="0" borderId="0" xfId="0" applyFont="1" applyFill="1" applyBorder="1">
      <alignment vertical="center"/>
    </xf>
    <xf numFmtId="0" fontId="31" fillId="0" borderId="0" xfId="0" applyFont="1" applyFill="1" applyBorder="1">
      <alignment vertical="center"/>
    </xf>
    <xf numFmtId="0" fontId="40" fillId="0" borderId="0" xfId="0" applyFont="1" applyFill="1" applyBorder="1" applyAlignment="1">
      <alignment vertical="center" wrapText="1"/>
    </xf>
    <xf numFmtId="0" fontId="34" fillId="0" borderId="0" xfId="0" applyFont="1" applyFill="1" applyBorder="1" applyAlignment="1">
      <alignment vertical="center" wrapText="1"/>
    </xf>
    <xf numFmtId="0" fontId="34" fillId="0" borderId="15" xfId="0" applyFont="1" applyFill="1" applyBorder="1">
      <alignment vertical="center"/>
    </xf>
    <xf numFmtId="0" fontId="34" fillId="0" borderId="17" xfId="0" applyFont="1" applyFill="1" applyBorder="1" applyAlignment="1">
      <alignment horizontal="center" vertical="center" shrinkToFit="1"/>
    </xf>
    <xf numFmtId="0" fontId="34" fillId="0" borderId="3" xfId="0" applyFont="1" applyFill="1" applyBorder="1" applyAlignment="1">
      <alignment horizontal="center" vertical="center"/>
    </xf>
    <xf numFmtId="0" fontId="34" fillId="0" borderId="17" xfId="0" applyFont="1" applyFill="1" applyBorder="1" applyAlignment="1">
      <alignment horizontal="left" vertical="center"/>
    </xf>
    <xf numFmtId="0" fontId="34" fillId="0" borderId="17" xfId="0" applyFont="1" applyFill="1" applyBorder="1" applyAlignment="1">
      <alignment vertical="top" shrinkToFit="1"/>
    </xf>
    <xf numFmtId="0" fontId="34" fillId="0" borderId="17" xfId="0" applyFont="1" applyFill="1" applyBorder="1">
      <alignment vertical="center"/>
    </xf>
    <xf numFmtId="0" fontId="34" fillId="0" borderId="17" xfId="0" applyFont="1" applyFill="1" applyBorder="1" applyAlignment="1">
      <alignment vertical="center" wrapText="1"/>
    </xf>
    <xf numFmtId="0" fontId="34" fillId="0" borderId="18" xfId="0" applyFont="1" applyFill="1" applyBorder="1">
      <alignment vertical="center"/>
    </xf>
    <xf numFmtId="0" fontId="34" fillId="0" borderId="11" xfId="0" applyFont="1" applyFill="1" applyBorder="1">
      <alignment vertical="center"/>
    </xf>
    <xf numFmtId="0" fontId="34" fillId="0" borderId="14" xfId="0" applyFont="1" applyFill="1" applyBorder="1">
      <alignment vertical="center"/>
    </xf>
    <xf numFmtId="0" fontId="34" fillId="0" borderId="16" xfId="0" applyFont="1" applyFill="1" applyBorder="1">
      <alignment vertical="center"/>
    </xf>
    <xf numFmtId="49" fontId="34" fillId="0" borderId="0" xfId="0" applyNumberFormat="1" applyFont="1" applyFill="1" applyAlignment="1">
      <alignment horizontal="center" vertical="center"/>
    </xf>
    <xf numFmtId="49" fontId="36" fillId="0" borderId="0" xfId="0" applyNumberFormat="1" applyFont="1" applyFill="1" applyAlignment="1">
      <alignment horizontal="center" vertical="top"/>
    </xf>
    <xf numFmtId="0" fontId="36" fillId="0" borderId="0" xfId="0" applyFont="1" applyFill="1" applyAlignment="1">
      <alignment vertical="top"/>
    </xf>
    <xf numFmtId="0" fontId="34" fillId="0" borderId="0" xfId="0" applyFont="1" applyFill="1" applyBorder="1" applyAlignment="1">
      <alignment horizontal="center" vertical="center"/>
    </xf>
    <xf numFmtId="177" fontId="16" fillId="0" borderId="0" xfId="0" applyNumberFormat="1" applyFont="1" applyFill="1" applyAlignment="1" applyProtection="1">
      <alignment horizontal="center" vertical="center" shrinkToFit="1"/>
      <protection locked="0"/>
    </xf>
    <xf numFmtId="177" fontId="16" fillId="0" borderId="0" xfId="0" applyNumberFormat="1" applyFont="1" applyFill="1" applyAlignment="1" applyProtection="1">
      <alignment vertical="center" shrinkToFit="1"/>
      <protection locked="0"/>
    </xf>
    <xf numFmtId="0" fontId="16" fillId="0" borderId="0" xfId="0" applyFont="1" applyFill="1" applyAlignment="1" applyProtection="1">
      <alignment vertical="center" shrinkToFit="1"/>
      <protection locked="0"/>
    </xf>
    <xf numFmtId="0" fontId="15" fillId="0" borderId="0" xfId="0" applyFont="1" applyAlignment="1" applyProtection="1">
      <alignment vertical="center" shrinkToFit="1"/>
      <protection locked="0"/>
    </xf>
    <xf numFmtId="0" fontId="13" fillId="2" borderId="1" xfId="0" applyFont="1" applyFill="1" applyBorder="1" applyAlignment="1" applyProtection="1">
      <alignment horizontal="center" vertical="center" shrinkToFit="1"/>
      <protection locked="0"/>
    </xf>
    <xf numFmtId="0" fontId="4" fillId="0" borderId="1" xfId="0" applyFont="1" applyBorder="1" applyAlignment="1" applyProtection="1">
      <alignment horizontal="center" vertical="center" textRotation="255" shrinkToFit="1"/>
      <protection locked="0"/>
    </xf>
    <xf numFmtId="14" fontId="3" fillId="0" borderId="0" xfId="0" applyNumberFormat="1" applyFont="1" applyFill="1" applyAlignment="1">
      <alignment horizontal="center" vertical="center" shrinkToFit="1"/>
    </xf>
    <xf numFmtId="0" fontId="29" fillId="0" borderId="15" xfId="0" applyFont="1" applyBorder="1" applyAlignment="1" applyProtection="1">
      <alignment vertical="center"/>
      <protection locked="0"/>
    </xf>
    <xf numFmtId="0" fontId="4" fillId="0" borderId="0" xfId="0" applyFont="1" applyFill="1" applyAlignment="1">
      <alignment vertical="center"/>
    </xf>
    <xf numFmtId="180" fontId="4" fillId="0" borderId="25" xfId="0" applyNumberFormat="1" applyFont="1" applyBorder="1" applyAlignment="1">
      <alignment horizontal="center" vertical="center" shrinkToFit="1"/>
    </xf>
    <xf numFmtId="0" fontId="15" fillId="0" borderId="0" xfId="0" applyNumberFormat="1" applyFont="1" applyFill="1" applyBorder="1" applyAlignment="1">
      <alignment horizontal="center" vertical="center" shrinkToFit="1"/>
    </xf>
    <xf numFmtId="182" fontId="4" fillId="0" borderId="0" xfId="0" applyNumberFormat="1" applyFont="1" applyFill="1" applyAlignment="1">
      <alignment vertical="center" shrinkToFit="1"/>
    </xf>
    <xf numFmtId="0" fontId="4" fillId="0" borderId="0" xfId="0" applyNumberFormat="1" applyFont="1" applyFill="1" applyAlignment="1">
      <alignment vertical="center" textRotation="255" shrinkToFit="1"/>
    </xf>
    <xf numFmtId="0" fontId="4" fillId="0" borderId="3" xfId="0" applyNumberFormat="1" applyFont="1" applyFill="1" applyBorder="1" applyAlignment="1">
      <alignment horizontal="center" vertical="center" shrinkToFit="1"/>
    </xf>
    <xf numFmtId="56" fontId="16" fillId="0" borderId="0" xfId="0" applyNumberFormat="1" applyFont="1" applyFill="1" applyAlignment="1">
      <alignment horizontal="right" vertical="center" shrinkToFit="1"/>
    </xf>
    <xf numFmtId="0" fontId="16" fillId="4" borderId="0" xfId="0" applyFont="1" applyFill="1" applyAlignment="1">
      <alignment vertical="center" shrinkToFit="1"/>
    </xf>
    <xf numFmtId="0" fontId="21" fillId="4" borderId="0" xfId="0" applyFont="1" applyFill="1" applyAlignment="1">
      <alignment vertical="center" shrinkToFit="1"/>
    </xf>
    <xf numFmtId="177" fontId="15" fillId="0" borderId="0" xfId="0" applyNumberFormat="1" applyFont="1" applyAlignment="1">
      <alignment vertical="center" shrinkToFit="1"/>
    </xf>
    <xf numFmtId="14" fontId="4" fillId="0" borderId="1" xfId="0" applyNumberFormat="1" applyFont="1" applyBorder="1" applyAlignment="1" applyProtection="1">
      <alignment horizontal="center" vertical="center" textRotation="255" shrinkToFit="1"/>
      <protection locked="0"/>
    </xf>
    <xf numFmtId="177" fontId="15" fillId="0" borderId="0" xfId="0" applyNumberFormat="1" applyFont="1" applyFill="1" applyAlignment="1">
      <alignment vertical="center" shrinkToFit="1"/>
    </xf>
    <xf numFmtId="14" fontId="16" fillId="0" borderId="0" xfId="0" applyNumberFormat="1" applyFont="1" applyFill="1" applyAlignment="1">
      <alignment horizontal="right" vertical="center" shrinkToFit="1"/>
    </xf>
    <xf numFmtId="0" fontId="23" fillId="0" borderId="36" xfId="0" applyFont="1" applyFill="1" applyBorder="1" applyAlignment="1">
      <alignment horizontal="center" vertical="center" shrinkToFit="1"/>
    </xf>
    <xf numFmtId="0" fontId="23" fillId="0" borderId="28" xfId="0" applyFont="1" applyFill="1" applyBorder="1" applyAlignment="1">
      <alignment horizontal="center" vertical="center" shrinkToFit="1"/>
    </xf>
    <xf numFmtId="0" fontId="23" fillId="0" borderId="37" xfId="0" applyFont="1" applyFill="1" applyBorder="1" applyAlignment="1">
      <alignment horizontal="center" vertical="center" shrinkToFit="1"/>
    </xf>
    <xf numFmtId="177" fontId="3" fillId="0" borderId="0" xfId="0" applyNumberFormat="1" applyFont="1" applyFill="1" applyAlignment="1">
      <alignment vertical="center" shrinkToFit="1"/>
    </xf>
    <xf numFmtId="177" fontId="3" fillId="0" borderId="0" xfId="0" applyNumberFormat="1" applyFont="1" applyFill="1" applyAlignment="1">
      <alignment horizontal="right" vertical="center" shrinkToFit="1"/>
    </xf>
    <xf numFmtId="0" fontId="4" fillId="0" borderId="19" xfId="0" applyFont="1" applyBorder="1" applyAlignment="1" applyProtection="1">
      <alignment horizontal="center" vertical="center" textRotation="255" shrinkToFit="1"/>
      <protection locked="0"/>
    </xf>
    <xf numFmtId="177" fontId="4" fillId="0" borderId="0" xfId="0" applyNumberFormat="1" applyFont="1" applyFill="1" applyAlignment="1">
      <alignment vertical="center" shrinkToFit="1"/>
    </xf>
    <xf numFmtId="180" fontId="4" fillId="0" borderId="46" xfId="0" applyNumberFormat="1" applyFont="1" applyBorder="1" applyAlignment="1">
      <alignment horizontal="center" vertical="center" shrinkToFit="1"/>
    </xf>
    <xf numFmtId="0" fontId="4" fillId="0" borderId="16" xfId="0" applyNumberFormat="1" applyFont="1" applyFill="1" applyBorder="1" applyAlignment="1">
      <alignment horizontal="center" vertical="center" shrinkToFit="1"/>
    </xf>
    <xf numFmtId="0" fontId="11" fillId="0" borderId="7" xfId="0" applyFont="1" applyBorder="1" applyAlignment="1">
      <alignment vertical="center" textRotation="255" shrinkToFit="1"/>
    </xf>
    <xf numFmtId="0" fontId="11" fillId="0" borderId="8" xfId="0" applyFont="1" applyBorder="1" applyAlignment="1">
      <alignment vertical="center" textRotation="255" shrinkToFit="1"/>
    </xf>
    <xf numFmtId="0" fontId="11" fillId="0" borderId="7" xfId="0" applyNumberFormat="1" applyFont="1" applyBorder="1" applyAlignment="1">
      <alignment horizontal="center" vertical="center" shrinkToFit="1"/>
    </xf>
    <xf numFmtId="0" fontId="11" fillId="0" borderId="8" xfId="0" applyFont="1" applyBorder="1" applyAlignment="1">
      <alignment horizontal="center" vertical="center" shrinkToFit="1"/>
    </xf>
    <xf numFmtId="0" fontId="11" fillId="0" borderId="21" xfId="0" applyFont="1" applyBorder="1" applyAlignment="1">
      <alignment vertical="center" textRotation="255" shrinkToFit="1"/>
    </xf>
    <xf numFmtId="0" fontId="11" fillId="0" borderId="21" xfId="0" applyNumberFormat="1" applyFont="1" applyBorder="1" applyAlignment="1">
      <alignment horizontal="center" vertical="center" shrinkToFit="1"/>
    </xf>
    <xf numFmtId="0" fontId="6" fillId="0" borderId="2" xfId="0" applyFont="1" applyBorder="1" applyAlignment="1">
      <alignment vertical="center" shrinkToFit="1"/>
    </xf>
    <xf numFmtId="0" fontId="4" fillId="0" borderId="24" xfId="0" applyFont="1" applyFill="1" applyBorder="1" applyAlignment="1">
      <alignment horizontal="center" vertical="center" shrinkToFit="1"/>
    </xf>
    <xf numFmtId="181" fontId="4" fillId="0" borderId="24" xfId="0" applyNumberFormat="1" applyFont="1" applyBorder="1" applyAlignment="1">
      <alignment horizontal="center" vertical="center" shrinkToFit="1"/>
    </xf>
    <xf numFmtId="0" fontId="4" fillId="0" borderId="48" xfId="0" applyFont="1" applyBorder="1" applyAlignment="1">
      <alignment horizontal="center" vertical="center" shrinkToFit="1"/>
    </xf>
    <xf numFmtId="181" fontId="4" fillId="0" borderId="48" xfId="0" applyNumberFormat="1" applyFont="1" applyBorder="1" applyAlignment="1">
      <alignment horizontal="center" vertical="center" shrinkToFit="1"/>
    </xf>
    <xf numFmtId="181" fontId="4" fillId="0" borderId="49" xfId="0" applyNumberFormat="1" applyFont="1" applyBorder="1" applyAlignment="1">
      <alignment horizontal="center" vertical="center" shrinkToFit="1"/>
    </xf>
    <xf numFmtId="0" fontId="11" fillId="0" borderId="55" xfId="0" applyFont="1" applyBorder="1" applyAlignment="1">
      <alignment vertical="center" textRotation="255" shrinkToFit="1"/>
    </xf>
    <xf numFmtId="0" fontId="11" fillId="0" borderId="55" xfId="0" applyFont="1" applyBorder="1" applyAlignment="1">
      <alignment horizontal="center" vertical="center" shrinkToFit="1"/>
    </xf>
    <xf numFmtId="0" fontId="4" fillId="0" borderId="56" xfId="0" applyFont="1" applyBorder="1" applyAlignment="1">
      <alignment horizontal="center" vertical="center" shrinkToFit="1"/>
    </xf>
    <xf numFmtId="0" fontId="13" fillId="3" borderId="56" xfId="0" applyFont="1" applyFill="1" applyBorder="1" applyAlignment="1" applyProtection="1">
      <alignment horizontal="center" vertical="center" shrinkToFit="1"/>
      <protection locked="0"/>
    </xf>
    <xf numFmtId="0" fontId="13" fillId="3" borderId="57" xfId="0" applyFont="1" applyFill="1" applyBorder="1" applyAlignment="1" applyProtection="1">
      <alignment horizontal="center" vertical="center" shrinkToFit="1"/>
      <protection locked="0"/>
    </xf>
    <xf numFmtId="0" fontId="13" fillId="3" borderId="58" xfId="0" applyFont="1" applyFill="1" applyBorder="1" applyAlignment="1" applyProtection="1">
      <alignment horizontal="center" vertical="center" shrinkToFit="1"/>
      <protection locked="0"/>
    </xf>
    <xf numFmtId="0" fontId="13" fillId="3" borderId="13" xfId="0" applyFont="1" applyFill="1" applyBorder="1" applyAlignment="1" applyProtection="1">
      <alignment horizontal="center" vertical="center" shrinkToFit="1"/>
      <protection locked="0"/>
    </xf>
    <xf numFmtId="0" fontId="13" fillId="3" borderId="2" xfId="0" applyFont="1" applyFill="1" applyBorder="1" applyAlignment="1" applyProtection="1">
      <alignment horizontal="center" vertical="center" shrinkToFit="1"/>
      <protection locked="0"/>
    </xf>
    <xf numFmtId="0" fontId="13" fillId="3" borderId="66" xfId="0" applyFont="1" applyFill="1" applyBorder="1" applyAlignment="1" applyProtection="1">
      <alignment horizontal="center" vertical="center" shrinkToFit="1"/>
      <protection locked="0"/>
    </xf>
    <xf numFmtId="181" fontId="4" fillId="0" borderId="14" xfId="0" applyNumberFormat="1" applyFont="1" applyBorder="1" applyAlignment="1">
      <alignment horizontal="center" vertical="center" shrinkToFit="1"/>
    </xf>
    <xf numFmtId="0" fontId="23" fillId="0" borderId="0" xfId="0" applyFont="1" applyFill="1" applyBorder="1" applyAlignment="1">
      <alignment vertical="center" shrinkToFit="1"/>
    </xf>
    <xf numFmtId="0" fontId="23" fillId="0" borderId="0" xfId="0" applyFont="1" applyFill="1" applyBorder="1" applyAlignment="1">
      <alignment horizontal="center" vertical="center" shrinkToFit="1"/>
    </xf>
    <xf numFmtId="0" fontId="15" fillId="0" borderId="0" xfId="0" applyFont="1" applyBorder="1" applyAlignment="1">
      <alignment vertical="center" shrinkToFit="1"/>
    </xf>
    <xf numFmtId="0" fontId="3" fillId="0" borderId="0" xfId="0" applyNumberFormat="1" applyFont="1" applyFill="1" applyAlignment="1">
      <alignment vertical="center" shrinkToFit="1"/>
    </xf>
    <xf numFmtId="0" fontId="21" fillId="4" borderId="0" xfId="0" applyFont="1" applyFill="1" applyAlignment="1">
      <alignment horizontal="left" vertical="center"/>
    </xf>
    <xf numFmtId="0" fontId="29" fillId="0" borderId="1" xfId="0" applyNumberFormat="1" applyFont="1" applyBorder="1">
      <alignment vertical="center"/>
    </xf>
    <xf numFmtId="0" fontId="29" fillId="0" borderId="1" xfId="0" applyNumberFormat="1" applyFont="1" applyBorder="1" applyAlignment="1">
      <alignment horizontal="center" vertical="center"/>
    </xf>
    <xf numFmtId="0" fontId="29" fillId="0" borderId="1" xfId="0" quotePrefix="1" applyNumberFormat="1" applyFont="1" applyBorder="1" applyAlignment="1">
      <alignment horizontal="center" vertical="center"/>
    </xf>
    <xf numFmtId="14" fontId="29" fillId="0" borderId="1" xfId="0" applyNumberFormat="1" applyFont="1" applyBorder="1" applyAlignment="1">
      <alignment horizontal="center" vertical="center"/>
    </xf>
    <xf numFmtId="0" fontId="48" fillId="0" borderId="1" xfId="0" applyFont="1" applyBorder="1" applyAlignment="1">
      <alignment horizontal="center" vertical="center"/>
    </xf>
    <xf numFmtId="0" fontId="29" fillId="0" borderId="0" xfId="0" applyNumberFormat="1" applyFont="1">
      <alignment vertical="center"/>
    </xf>
    <xf numFmtId="0" fontId="49" fillId="0" borderId="0" xfId="0" applyFont="1" applyAlignment="1">
      <alignment horizontal="center" vertical="center"/>
    </xf>
    <xf numFmtId="0" fontId="50" fillId="0" borderId="0" xfId="0" applyFont="1">
      <alignment vertical="center"/>
    </xf>
    <xf numFmtId="0" fontId="50" fillId="0" borderId="0" xfId="0" applyFont="1" applyAlignment="1">
      <alignment vertical="center"/>
    </xf>
    <xf numFmtId="177" fontId="50" fillId="0" borderId="0" xfId="0" applyNumberFormat="1" applyFont="1" applyAlignment="1">
      <alignment vertical="center"/>
    </xf>
    <xf numFmtId="178" fontId="50" fillId="0" borderId="0" xfId="0" applyNumberFormat="1" applyFont="1" applyAlignment="1">
      <alignment vertical="center"/>
    </xf>
    <xf numFmtId="183" fontId="50" fillId="0" borderId="0" xfId="0" applyNumberFormat="1" applyFont="1" applyBorder="1" applyAlignment="1">
      <alignment horizontal="center" vertical="center"/>
    </xf>
    <xf numFmtId="184" fontId="50" fillId="0" borderId="0" xfId="0" applyNumberFormat="1" applyFont="1" applyBorder="1" applyAlignment="1">
      <alignment horizontal="center" vertical="center"/>
    </xf>
    <xf numFmtId="0" fontId="50" fillId="0" borderId="12" xfId="0" applyFont="1" applyBorder="1" applyAlignment="1">
      <alignment vertical="center"/>
    </xf>
    <xf numFmtId="0" fontId="50" fillId="0" borderId="12" xfId="0" applyFont="1" applyBorder="1">
      <alignment vertical="center"/>
    </xf>
    <xf numFmtId="180" fontId="29" fillId="0" borderId="0" xfId="0" applyNumberFormat="1" applyFont="1" applyBorder="1" applyAlignment="1">
      <alignment vertical="center"/>
    </xf>
    <xf numFmtId="0" fontId="29" fillId="0" borderId="12" xfId="0" applyFont="1" applyBorder="1">
      <alignment vertical="center"/>
    </xf>
    <xf numFmtId="0" fontId="29" fillId="0" borderId="0" xfId="0" quotePrefix="1" applyFont="1" applyAlignment="1">
      <alignment horizontal="center" vertical="center"/>
    </xf>
    <xf numFmtId="0" fontId="29" fillId="0" borderId="0" xfId="0" quotePrefix="1" applyFont="1">
      <alignment vertical="center"/>
    </xf>
    <xf numFmtId="0" fontId="29" fillId="0" borderId="0" xfId="0" applyFont="1" applyAlignment="1">
      <alignment vertical="center" wrapText="1"/>
    </xf>
    <xf numFmtId="56" fontId="16" fillId="0" borderId="0" xfId="0" applyNumberFormat="1" applyFont="1" applyFill="1" applyAlignment="1" applyProtection="1">
      <alignment vertical="center" shrinkToFit="1"/>
      <protection locked="0"/>
    </xf>
    <xf numFmtId="0" fontId="29" fillId="0" borderId="0" xfId="0" applyFont="1" applyAlignment="1">
      <alignment vertical="center" shrinkToFit="1"/>
    </xf>
    <xf numFmtId="179" fontId="29" fillId="0" borderId="0" xfId="0" applyNumberFormat="1" applyFont="1" applyAlignment="1">
      <alignment vertical="center" shrinkToFit="1"/>
    </xf>
    <xf numFmtId="0" fontId="29" fillId="0" borderId="12" xfId="0" applyFont="1" applyBorder="1" applyAlignment="1">
      <alignment vertical="center"/>
    </xf>
    <xf numFmtId="0" fontId="29" fillId="0" borderId="0" xfId="0" applyFont="1" applyBorder="1" applyAlignment="1">
      <alignment vertical="center"/>
    </xf>
    <xf numFmtId="0" fontId="28" fillId="0" borderId="0" xfId="0" applyFont="1" applyBorder="1" applyAlignment="1">
      <alignment horizontal="center" vertical="center"/>
    </xf>
    <xf numFmtId="179" fontId="29" fillId="0" borderId="69" xfId="0" applyNumberFormat="1" applyFont="1" applyBorder="1">
      <alignment vertical="center"/>
    </xf>
    <xf numFmtId="0" fontId="29" fillId="0" borderId="1" xfId="0" applyFont="1" applyBorder="1" applyAlignment="1">
      <alignment horizontal="center" vertical="center"/>
    </xf>
    <xf numFmtId="0" fontId="29" fillId="0" borderId="0" xfId="0" applyNumberFormat="1" applyFont="1" applyAlignment="1">
      <alignment horizontal="left" vertical="center"/>
    </xf>
    <xf numFmtId="0" fontId="11" fillId="0" borderId="8" xfId="0" applyFont="1" applyBorder="1" applyAlignment="1">
      <alignment horizontal="center" vertical="center" shrinkToFit="1"/>
    </xf>
    <xf numFmtId="0" fontId="29" fillId="0" borderId="0" xfId="0" applyFont="1" applyAlignment="1">
      <alignment horizontal="center" vertical="center"/>
    </xf>
    <xf numFmtId="0" fontId="50" fillId="0" borderId="0" xfId="0" applyFont="1" applyAlignment="1">
      <alignment horizontal="center" vertical="center"/>
    </xf>
    <xf numFmtId="0" fontId="49" fillId="0" borderId="0" xfId="0" applyFont="1" applyAlignment="1">
      <alignment horizontal="center" vertical="center"/>
    </xf>
    <xf numFmtId="0" fontId="29" fillId="0" borderId="4" xfId="0" applyFont="1" applyBorder="1">
      <alignment vertical="center"/>
    </xf>
    <xf numFmtId="0" fontId="29" fillId="0" borderId="5" xfId="0" applyFont="1" applyBorder="1">
      <alignment vertical="center"/>
    </xf>
    <xf numFmtId="0" fontId="29" fillId="0" borderId="6" xfId="0" applyFont="1" applyBorder="1">
      <alignment vertical="center"/>
    </xf>
    <xf numFmtId="0" fontId="29" fillId="0" borderId="7" xfId="0" applyFont="1" applyBorder="1">
      <alignment vertical="center"/>
    </xf>
    <xf numFmtId="0" fontId="29" fillId="0" borderId="8" xfId="0" applyFont="1" applyBorder="1">
      <alignment vertical="center"/>
    </xf>
    <xf numFmtId="0" fontId="29" fillId="0" borderId="9" xfId="0" applyFont="1" applyBorder="1">
      <alignment vertical="center"/>
    </xf>
    <xf numFmtId="180" fontId="29" fillId="0" borderId="10" xfId="0" applyNumberFormat="1" applyFont="1" applyBorder="1">
      <alignment vertical="center"/>
    </xf>
    <xf numFmtId="0" fontId="29" fillId="0" borderId="10" xfId="0" applyNumberFormat="1" applyFont="1" applyBorder="1">
      <alignment vertical="center"/>
    </xf>
    <xf numFmtId="0" fontId="29" fillId="0" borderId="10" xfId="0" applyFont="1" applyBorder="1">
      <alignment vertical="center"/>
    </xf>
    <xf numFmtId="0" fontId="29" fillId="0" borderId="30" xfId="0" applyFont="1" applyBorder="1">
      <alignment vertical="center"/>
    </xf>
    <xf numFmtId="0" fontId="29" fillId="0" borderId="32" xfId="0" applyFont="1" applyBorder="1">
      <alignment vertical="center"/>
    </xf>
    <xf numFmtId="0" fontId="29" fillId="0" borderId="71" xfId="0" applyFont="1" applyBorder="1">
      <alignment vertical="center"/>
    </xf>
    <xf numFmtId="0" fontId="29" fillId="0" borderId="33" xfId="0" applyFont="1" applyBorder="1">
      <alignment vertical="center"/>
    </xf>
    <xf numFmtId="179" fontId="29" fillId="0" borderId="1" xfId="0" applyNumberFormat="1" applyFont="1" applyBorder="1" applyAlignment="1">
      <alignment vertical="center"/>
    </xf>
    <xf numFmtId="185" fontId="29" fillId="0" borderId="1" xfId="0" applyNumberFormat="1" applyFont="1" applyBorder="1" applyAlignment="1">
      <alignment vertical="center"/>
    </xf>
    <xf numFmtId="0" fontId="29" fillId="0" borderId="1" xfId="0" applyNumberFormat="1" applyFont="1" applyBorder="1" applyAlignment="1">
      <alignment horizontal="center" vertical="center"/>
    </xf>
    <xf numFmtId="180" fontId="29" fillId="0" borderId="14" xfId="0" applyNumberFormat="1" applyFont="1" applyBorder="1" applyAlignment="1">
      <alignment vertical="center"/>
    </xf>
    <xf numFmtId="0" fontId="29" fillId="0" borderId="2" xfId="0" applyFont="1" applyBorder="1">
      <alignment vertical="center"/>
    </xf>
    <xf numFmtId="0" fontId="29" fillId="0" borderId="24" xfId="0" applyFont="1" applyBorder="1">
      <alignment vertical="center"/>
    </xf>
    <xf numFmtId="179" fontId="29" fillId="0" borderId="3" xfId="0" applyNumberFormat="1" applyFont="1" applyBorder="1">
      <alignment vertical="center"/>
    </xf>
    <xf numFmtId="0" fontId="53" fillId="0" borderId="0" xfId="0" applyFont="1">
      <alignment vertical="center"/>
    </xf>
    <xf numFmtId="0" fontId="55" fillId="7" borderId="0" xfId="0" applyFont="1" applyFill="1">
      <alignment vertical="center"/>
    </xf>
    <xf numFmtId="0" fontId="55" fillId="0" borderId="0" xfId="0" applyFont="1" applyAlignment="1">
      <alignment vertical="center"/>
    </xf>
    <xf numFmtId="177" fontId="50" fillId="0" borderId="0" xfId="0" applyNumberFormat="1" applyFont="1" applyAlignment="1">
      <alignment horizontal="left" vertical="center"/>
    </xf>
    <xf numFmtId="0" fontId="50" fillId="0" borderId="14" xfId="0" applyFont="1" applyBorder="1" applyProtection="1">
      <alignment vertical="center"/>
      <protection locked="0"/>
    </xf>
    <xf numFmtId="0" fontId="50" fillId="0" borderId="0" xfId="0" applyFont="1" applyBorder="1" applyProtection="1">
      <alignment vertical="center"/>
      <protection locked="0"/>
    </xf>
    <xf numFmtId="0" fontId="50" fillId="0" borderId="15" xfId="0" applyFont="1" applyBorder="1" applyProtection="1">
      <alignment vertical="center"/>
      <protection locked="0"/>
    </xf>
    <xf numFmtId="0" fontId="44" fillId="0" borderId="0" xfId="0" applyFont="1" applyFill="1" applyAlignment="1">
      <alignment horizontal="right" vertical="center"/>
    </xf>
    <xf numFmtId="49" fontId="43" fillId="0" borderId="0" xfId="0" applyNumberFormat="1" applyFont="1" applyFill="1" applyAlignment="1">
      <alignment horizontal="center" vertical="center"/>
    </xf>
    <xf numFmtId="0" fontId="34" fillId="0" borderId="0" xfId="0" applyFont="1" applyFill="1" applyAlignment="1">
      <alignment horizontal="left" vertical="top" wrapText="1"/>
    </xf>
    <xf numFmtId="0" fontId="36" fillId="0" borderId="12" xfId="0" applyFont="1" applyFill="1" applyBorder="1" applyAlignment="1">
      <alignment horizontal="left" vertical="center" shrinkToFit="1"/>
    </xf>
    <xf numFmtId="0" fontId="36" fillId="0" borderId="17" xfId="0" applyFont="1" applyFill="1" applyBorder="1" applyAlignment="1">
      <alignment horizontal="left" vertical="center" shrinkToFit="1"/>
    </xf>
    <xf numFmtId="0" fontId="39" fillId="0" borderId="0" xfId="0" applyFont="1" applyFill="1" applyBorder="1" applyAlignment="1">
      <alignment horizontal="left" vertical="center" wrapText="1"/>
    </xf>
    <xf numFmtId="0" fontId="39" fillId="0" borderId="15" xfId="0" applyFont="1" applyFill="1" applyBorder="1" applyAlignment="1">
      <alignment horizontal="left" vertical="center" wrapText="1"/>
    </xf>
    <xf numFmtId="0" fontId="36" fillId="0" borderId="0" xfId="0" applyFont="1" applyFill="1" applyBorder="1" applyAlignment="1">
      <alignment horizontal="left" vertical="center" shrinkToFit="1"/>
    </xf>
    <xf numFmtId="0" fontId="34" fillId="0" borderId="0" xfId="0" applyFont="1" applyFill="1" applyAlignment="1">
      <alignment horizontal="left" vertical="top" shrinkToFit="1"/>
    </xf>
    <xf numFmtId="0" fontId="45" fillId="0" borderId="0" xfId="0" applyFont="1" applyFill="1" applyBorder="1" applyAlignment="1">
      <alignment horizontal="center" vertical="center" shrinkToFit="1"/>
    </xf>
    <xf numFmtId="0" fontId="45" fillId="0" borderId="15" xfId="0" applyFont="1" applyFill="1" applyBorder="1" applyAlignment="1">
      <alignment horizontal="center" vertical="center" shrinkToFit="1"/>
    </xf>
    <xf numFmtId="0" fontId="36" fillId="0" borderId="0" xfId="0" applyFont="1" applyFill="1" applyAlignment="1">
      <alignment horizontal="left" vertical="center" shrinkToFit="1"/>
    </xf>
    <xf numFmtId="0" fontId="32" fillId="0" borderId="0" xfId="0" applyFont="1" applyFill="1" applyAlignment="1">
      <alignment horizontal="right" vertical="center"/>
    </xf>
    <xf numFmtId="10" fontId="11" fillId="0" borderId="7" xfId="2" applyNumberFormat="1" applyFont="1" applyBorder="1" applyAlignment="1">
      <alignment horizontal="center" vertical="center" shrinkToFit="1"/>
    </xf>
    <xf numFmtId="10" fontId="11" fillId="0" borderId="8" xfId="2" applyNumberFormat="1" applyFont="1" applyBorder="1" applyAlignment="1">
      <alignment horizontal="center" vertical="center" shrinkToFit="1"/>
    </xf>
    <xf numFmtId="10" fontId="11" fillId="0" borderId="21" xfId="2" applyNumberFormat="1" applyFont="1" applyBorder="1" applyAlignment="1">
      <alignment horizontal="center" vertical="center" shrinkToFit="1"/>
    </xf>
    <xf numFmtId="10" fontId="11" fillId="0" borderId="55" xfId="2" applyNumberFormat="1" applyFont="1" applyBorder="1" applyAlignment="1">
      <alignment horizontal="center" vertical="center" shrinkToFit="1"/>
    </xf>
    <xf numFmtId="0" fontId="11" fillId="0" borderId="50" xfId="0" applyFont="1" applyBorder="1" applyAlignment="1">
      <alignment horizontal="center" vertical="center" shrinkToFit="1"/>
    </xf>
    <xf numFmtId="0" fontId="11" fillId="0" borderId="51" xfId="0" applyFont="1" applyBorder="1" applyAlignment="1">
      <alignment horizontal="center" vertical="center" shrinkToFit="1"/>
    </xf>
    <xf numFmtId="0" fontId="11" fillId="0" borderId="52" xfId="0" applyFont="1" applyBorder="1" applyAlignment="1">
      <alignment horizontal="center" vertical="center" shrinkToFit="1"/>
    </xf>
    <xf numFmtId="0" fontId="11" fillId="0" borderId="53"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shrinkToFit="1"/>
    </xf>
    <xf numFmtId="0" fontId="16" fillId="0" borderId="0" xfId="0" applyFont="1" applyFill="1" applyAlignment="1">
      <alignment horizontal="left" vertical="center" shrinkToFit="1"/>
    </xf>
    <xf numFmtId="0" fontId="23" fillId="0" borderId="36" xfId="0" applyFont="1" applyFill="1" applyBorder="1" applyAlignment="1">
      <alignment horizontal="center" vertical="center" shrinkToFit="1"/>
    </xf>
    <xf numFmtId="0" fontId="23" fillId="0" borderId="28" xfId="0" applyFont="1" applyFill="1" applyBorder="1" applyAlignment="1">
      <alignment horizontal="center" vertical="center" shrinkToFit="1"/>
    </xf>
    <xf numFmtId="0" fontId="23" fillId="0" borderId="37" xfId="0" applyFont="1" applyFill="1" applyBorder="1" applyAlignment="1">
      <alignment horizontal="center" vertical="center" shrinkToFit="1"/>
    </xf>
    <xf numFmtId="0" fontId="11" fillId="0" borderId="21" xfId="0" applyFont="1" applyBorder="1" applyAlignment="1">
      <alignment horizontal="center" vertical="center" shrinkToFit="1"/>
    </xf>
    <xf numFmtId="0" fontId="11" fillId="0" borderId="55" xfId="0" applyFont="1" applyBorder="1" applyAlignment="1">
      <alignment horizontal="center" vertical="center" shrinkToFit="1"/>
    </xf>
    <xf numFmtId="0" fontId="26" fillId="4" borderId="14" xfId="0" applyFont="1" applyFill="1" applyBorder="1" applyAlignment="1">
      <alignment horizontal="center" vertical="center" shrinkToFit="1"/>
    </xf>
    <xf numFmtId="0" fontId="26" fillId="4" borderId="0" xfId="0" applyFont="1" applyFill="1" applyBorder="1" applyAlignment="1">
      <alignment horizontal="center" vertical="center" shrinkToFit="1"/>
    </xf>
    <xf numFmtId="0" fontId="27" fillId="4" borderId="0" xfId="0" applyFont="1" applyFill="1" applyBorder="1" applyAlignment="1">
      <alignment horizontal="left" vertical="center" wrapText="1" shrinkToFit="1"/>
    </xf>
    <xf numFmtId="0" fontId="27" fillId="4" borderId="0" xfId="0" applyFont="1" applyFill="1" applyBorder="1" applyAlignment="1">
      <alignment horizontal="left" vertical="center" shrinkToFit="1"/>
    </xf>
    <xf numFmtId="0" fontId="26" fillId="4" borderId="0" xfId="0" applyFont="1" applyFill="1" applyBorder="1" applyAlignment="1">
      <alignment horizontal="center" vertical="top" shrinkToFit="1"/>
    </xf>
    <xf numFmtId="0" fontId="26" fillId="4" borderId="0" xfId="0" applyFont="1" applyFill="1" applyBorder="1" applyAlignment="1">
      <alignment horizontal="left" vertical="center" shrinkToFit="1"/>
    </xf>
    <xf numFmtId="0" fontId="26" fillId="4" borderId="16" xfId="0" applyFont="1" applyFill="1" applyBorder="1" applyAlignment="1">
      <alignment horizontal="center" vertical="center" shrinkToFit="1"/>
    </xf>
    <xf numFmtId="0" fontId="26" fillId="4" borderId="17" xfId="0" applyFont="1" applyFill="1" applyBorder="1" applyAlignment="1">
      <alignment horizontal="center" vertical="center" shrinkToFit="1"/>
    </xf>
    <xf numFmtId="0" fontId="26" fillId="4" borderId="17" xfId="0" applyFont="1" applyFill="1" applyBorder="1" applyAlignment="1">
      <alignment horizontal="left" vertical="center" wrapText="1" shrinkToFit="1"/>
    </xf>
    <xf numFmtId="0" fontId="26" fillId="4" borderId="18" xfId="0" applyFont="1" applyFill="1" applyBorder="1" applyAlignment="1">
      <alignment horizontal="left" vertical="center" wrapText="1" shrinkToFit="1"/>
    </xf>
    <xf numFmtId="0" fontId="26" fillId="4" borderId="15" xfId="0" applyFont="1" applyFill="1" applyBorder="1" applyAlignment="1">
      <alignment horizontal="left" vertical="center" shrinkToFit="1"/>
    </xf>
    <xf numFmtId="0" fontId="27" fillId="4" borderId="15" xfId="0" applyFont="1" applyFill="1" applyBorder="1" applyAlignment="1">
      <alignment horizontal="left" vertical="center" wrapText="1" shrinkToFit="1"/>
    </xf>
    <xf numFmtId="0" fontId="25" fillId="4" borderId="19" xfId="0" applyFont="1" applyFill="1" applyBorder="1" applyAlignment="1">
      <alignment horizontal="center" vertical="center" shrinkToFit="1"/>
    </xf>
    <xf numFmtId="0" fontId="25" fillId="4" borderId="20" xfId="0" applyFont="1" applyFill="1" applyBorder="1" applyAlignment="1">
      <alignment horizontal="center" vertical="center" shrinkToFit="1"/>
    </xf>
    <xf numFmtId="0" fontId="25" fillId="4" borderId="21" xfId="0" applyFont="1" applyFill="1" applyBorder="1" applyAlignment="1">
      <alignment horizontal="center" vertical="center" shrinkToFit="1"/>
    </xf>
    <xf numFmtId="0" fontId="26" fillId="4" borderId="38" xfId="0" applyFont="1" applyFill="1" applyBorder="1" applyAlignment="1">
      <alignment horizontal="center" vertical="center" shrinkToFit="1"/>
    </xf>
    <xf numFmtId="0" fontId="26" fillId="4" borderId="39" xfId="0" applyFont="1" applyFill="1" applyBorder="1" applyAlignment="1">
      <alignment horizontal="center" vertical="center" shrinkToFit="1"/>
    </xf>
    <xf numFmtId="0" fontId="26" fillId="4" borderId="40" xfId="0" applyFont="1" applyFill="1" applyBorder="1" applyAlignment="1">
      <alignment horizontal="center" vertical="center" shrinkToFit="1"/>
    </xf>
    <xf numFmtId="0" fontId="26" fillId="4" borderId="41" xfId="0" applyFont="1" applyFill="1" applyBorder="1" applyAlignment="1">
      <alignment horizontal="left" vertical="center" wrapText="1" shrinkToFit="1"/>
    </xf>
    <xf numFmtId="0" fontId="26" fillId="4" borderId="42" xfId="0" applyFont="1" applyFill="1" applyBorder="1" applyAlignment="1">
      <alignment horizontal="left" vertical="center" wrapText="1" shrinkToFit="1"/>
    </xf>
    <xf numFmtId="0" fontId="26" fillId="4" borderId="0" xfId="0" applyFont="1" applyFill="1" applyBorder="1" applyAlignment="1">
      <alignment horizontal="left" vertical="center" wrapText="1" shrinkToFit="1"/>
    </xf>
    <xf numFmtId="0" fontId="26" fillId="4" borderId="15" xfId="0" applyFont="1" applyFill="1" applyBorder="1" applyAlignment="1">
      <alignment horizontal="left" vertical="center" wrapText="1" shrinkToFit="1"/>
    </xf>
    <xf numFmtId="0" fontId="14" fillId="0" borderId="0" xfId="0" applyFont="1" applyFill="1" applyAlignment="1">
      <alignment horizontal="center" vertical="center" shrinkToFit="1"/>
    </xf>
    <xf numFmtId="177" fontId="16" fillId="0" borderId="0" xfId="0" applyNumberFormat="1" applyFont="1" applyFill="1" applyAlignment="1" applyProtection="1">
      <alignment horizontal="right" vertical="center" shrinkToFit="1"/>
      <protection locked="0"/>
    </xf>
    <xf numFmtId="0" fontId="16" fillId="0" borderId="0" xfId="0" applyFont="1" applyFill="1" applyAlignment="1" applyProtection="1">
      <alignment horizontal="right" vertical="center" shrinkToFit="1"/>
      <protection locked="0"/>
    </xf>
    <xf numFmtId="177" fontId="16" fillId="5" borderId="0" xfId="0" applyNumberFormat="1" applyFont="1" applyFill="1" applyAlignment="1" applyProtection="1">
      <alignment horizontal="center" vertical="center" shrinkToFit="1"/>
      <protection locked="0"/>
    </xf>
    <xf numFmtId="0" fontId="16" fillId="0" borderId="0" xfId="0" applyFont="1" applyFill="1" applyAlignment="1" applyProtection="1">
      <alignment horizontal="center" vertical="center" shrinkToFit="1"/>
      <protection locked="0"/>
    </xf>
    <xf numFmtId="0" fontId="22" fillId="0" borderId="32" xfId="0" applyFont="1" applyFill="1" applyBorder="1" applyAlignment="1">
      <alignment horizontal="center" vertical="center" shrinkToFit="1"/>
    </xf>
    <xf numFmtId="0" fontId="22" fillId="0" borderId="33" xfId="0" applyFont="1" applyFill="1" applyBorder="1" applyAlignment="1">
      <alignment horizontal="center" vertical="center" shrinkToFit="1"/>
    </xf>
    <xf numFmtId="0" fontId="24" fillId="0" borderId="32" xfId="0" applyFont="1" applyFill="1" applyBorder="1" applyAlignment="1">
      <alignment horizontal="center" vertical="center" shrinkToFit="1"/>
    </xf>
    <xf numFmtId="0" fontId="24" fillId="0" borderId="33" xfId="0" applyFont="1" applyFill="1" applyBorder="1" applyAlignment="1">
      <alignment horizontal="center" vertical="center" shrinkToFit="1"/>
    </xf>
    <xf numFmtId="0" fontId="20" fillId="0" borderId="34" xfId="0" applyFont="1" applyFill="1" applyBorder="1" applyAlignment="1">
      <alignment horizontal="center" vertical="center" shrinkToFit="1"/>
    </xf>
    <xf numFmtId="0" fontId="20" fillId="0" borderId="33" xfId="0" applyFont="1" applyFill="1" applyBorder="1" applyAlignment="1">
      <alignment horizontal="center" vertical="center" shrinkToFit="1"/>
    </xf>
    <xf numFmtId="0" fontId="16" fillId="0" borderId="0" xfId="0" applyFont="1" applyFill="1" applyAlignment="1" applyProtection="1">
      <alignment horizontal="left" vertical="center" shrinkToFit="1"/>
    </xf>
    <xf numFmtId="0" fontId="16" fillId="5" borderId="0" xfId="0" applyFont="1" applyFill="1" applyAlignment="1" applyProtection="1">
      <alignment horizontal="left" vertical="center" shrinkToFit="1"/>
      <protection locked="0"/>
    </xf>
    <xf numFmtId="0" fontId="22" fillId="0" borderId="31" xfId="0" applyFont="1" applyFill="1" applyBorder="1" applyAlignment="1">
      <alignment horizontal="center" vertical="center" shrinkToFit="1"/>
    </xf>
    <xf numFmtId="0" fontId="22" fillId="0" borderId="35" xfId="0" applyFont="1" applyFill="1" applyBorder="1" applyAlignment="1">
      <alignment horizontal="center" vertical="center" shrinkToFit="1"/>
    </xf>
    <xf numFmtId="14" fontId="3" fillId="0" borderId="0" xfId="0" applyNumberFormat="1" applyFont="1" applyFill="1" applyAlignment="1">
      <alignment horizontal="center" vertical="center" shrinkToFit="1"/>
    </xf>
    <xf numFmtId="0" fontId="12" fillId="4" borderId="0" xfId="0" applyFont="1" applyFill="1" applyBorder="1" applyAlignment="1">
      <alignment horizontal="center" vertical="center" shrinkToFit="1"/>
    </xf>
    <xf numFmtId="0" fontId="10" fillId="0" borderId="62" xfId="0" applyNumberFormat="1" applyFont="1" applyBorder="1" applyAlignment="1" applyProtection="1">
      <alignment horizontal="center" vertical="center" textRotation="255" shrinkToFit="1"/>
    </xf>
    <xf numFmtId="0" fontId="10" fillId="0" borderId="63" xfId="0" applyNumberFormat="1" applyFont="1" applyBorder="1" applyAlignment="1" applyProtection="1">
      <alignment horizontal="center" vertical="center" textRotation="255" shrinkToFit="1"/>
    </xf>
    <xf numFmtId="0" fontId="10" fillId="0" borderId="65" xfId="0" applyNumberFormat="1" applyFont="1" applyBorder="1" applyAlignment="1" applyProtection="1">
      <alignment horizontal="center" vertical="center" textRotation="255" shrinkToFit="1"/>
    </xf>
    <xf numFmtId="0" fontId="11" fillId="0" borderId="5" xfId="0" applyFont="1" applyBorder="1" applyAlignment="1">
      <alignment horizontal="center" vertical="center" shrinkToFit="1"/>
    </xf>
    <xf numFmtId="0" fontId="11" fillId="0" borderId="29"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27" xfId="0" applyFont="1" applyBorder="1" applyAlignment="1">
      <alignment horizontal="center" vertical="center" shrinkToFit="1"/>
    </xf>
    <xf numFmtId="0" fontId="10" fillId="0" borderId="47" xfId="0" applyNumberFormat="1" applyFont="1" applyBorder="1" applyAlignment="1" applyProtection="1">
      <alignment horizontal="center" vertical="center" textRotation="255" shrinkToFit="1"/>
    </xf>
    <xf numFmtId="0" fontId="10" fillId="0" borderId="54" xfId="0" applyNumberFormat="1" applyFont="1" applyBorder="1" applyAlignment="1" applyProtection="1">
      <alignment horizontal="center" vertical="center" textRotation="255" shrinkToFit="1"/>
    </xf>
    <xf numFmtId="0" fontId="10" fillId="0" borderId="67" xfId="0" applyNumberFormat="1" applyFont="1" applyBorder="1" applyAlignment="1" applyProtection="1">
      <alignment horizontal="center" vertical="center" textRotation="255" shrinkToFit="1"/>
    </xf>
    <xf numFmtId="14" fontId="15" fillId="0" borderId="19" xfId="0" applyNumberFormat="1" applyFont="1" applyFill="1" applyBorder="1" applyAlignment="1">
      <alignment horizontal="center" vertical="center" shrinkToFit="1"/>
    </xf>
    <xf numFmtId="14" fontId="15" fillId="0" borderId="20" xfId="0" applyNumberFormat="1" applyFont="1" applyFill="1" applyBorder="1" applyAlignment="1">
      <alignment horizontal="center" vertical="center" shrinkToFit="1"/>
    </xf>
    <xf numFmtId="0" fontId="22" fillId="2" borderId="4" xfId="0" applyFont="1" applyFill="1" applyBorder="1" applyAlignment="1">
      <alignment horizontal="center" vertical="center" shrinkToFit="1"/>
    </xf>
    <xf numFmtId="0" fontId="22" fillId="2" borderId="6" xfId="0" applyFont="1" applyFill="1" applyBorder="1" applyAlignment="1">
      <alignment horizontal="center" vertical="center" shrinkToFit="1"/>
    </xf>
    <xf numFmtId="0" fontId="22" fillId="2" borderId="43" xfId="0" applyFont="1" applyFill="1" applyBorder="1" applyAlignment="1">
      <alignment horizontal="center" vertical="center" shrinkToFit="1"/>
    </xf>
    <xf numFmtId="0" fontId="22" fillId="2" borderId="44" xfId="0" applyFont="1" applyFill="1" applyBorder="1" applyAlignment="1">
      <alignment horizontal="center" vertical="center" shrinkToFit="1"/>
    </xf>
    <xf numFmtId="0" fontId="22" fillId="3" borderId="23" xfId="0" applyFont="1" applyFill="1" applyBorder="1" applyAlignment="1">
      <alignment horizontal="center" vertical="center" shrinkToFit="1"/>
    </xf>
    <xf numFmtId="0" fontId="22" fillId="3" borderId="22" xfId="0" applyFont="1" applyFill="1" applyBorder="1" applyAlignment="1">
      <alignment horizontal="center" vertical="center" shrinkToFit="1"/>
    </xf>
    <xf numFmtId="0" fontId="22" fillId="3" borderId="0" xfId="0" applyFont="1" applyFill="1" applyBorder="1" applyAlignment="1">
      <alignment horizontal="center" vertical="center" shrinkToFit="1"/>
    </xf>
    <xf numFmtId="0" fontId="22" fillId="3" borderId="45" xfId="0" applyFont="1" applyFill="1" applyBorder="1" applyAlignment="1">
      <alignment horizontal="center" vertical="center" shrinkToFit="1"/>
    </xf>
    <xf numFmtId="177" fontId="3" fillId="0" borderId="0" xfId="0" applyNumberFormat="1" applyFont="1" applyFill="1" applyAlignment="1">
      <alignment horizontal="center" vertical="center" shrinkToFit="1"/>
    </xf>
    <xf numFmtId="10" fontId="22" fillId="0" borderId="32" xfId="2" applyNumberFormat="1" applyFont="1" applyFill="1" applyBorder="1" applyAlignment="1">
      <alignment horizontal="center" vertical="center" shrinkToFit="1"/>
    </xf>
    <xf numFmtId="10" fontId="22" fillId="0" borderId="33" xfId="2" applyNumberFormat="1" applyFont="1" applyFill="1" applyBorder="1" applyAlignment="1">
      <alignment horizontal="center" vertical="center" shrinkToFit="1"/>
    </xf>
    <xf numFmtId="0" fontId="16" fillId="5" borderId="0" xfId="0" applyFont="1" applyFill="1" applyAlignment="1" applyProtection="1">
      <alignment horizontal="center" vertical="center" shrinkToFit="1"/>
      <protection locked="0"/>
    </xf>
    <xf numFmtId="0" fontId="9" fillId="4" borderId="0" xfId="0" applyFont="1" applyFill="1" applyBorder="1" applyAlignment="1">
      <alignment horizontal="center" vertical="center" shrinkToFit="1"/>
    </xf>
    <xf numFmtId="0" fontId="49" fillId="0" borderId="0" xfId="0" applyFont="1" applyAlignment="1">
      <alignment horizontal="center" vertical="center"/>
    </xf>
    <xf numFmtId="0" fontId="50" fillId="0" borderId="0" xfId="0" applyFont="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177" fontId="50" fillId="0" borderId="0" xfId="0" applyNumberFormat="1" applyFont="1" applyAlignment="1">
      <alignment horizontal="left" vertical="center"/>
    </xf>
    <xf numFmtId="0" fontId="50" fillId="0" borderId="0" xfId="0" applyFont="1" applyAlignment="1">
      <alignment horizontal="left" vertical="center"/>
    </xf>
    <xf numFmtId="178" fontId="50" fillId="0" borderId="0" xfId="0" applyNumberFormat="1" applyFont="1" applyAlignment="1">
      <alignment horizontal="left" vertical="center"/>
    </xf>
    <xf numFmtId="0" fontId="29" fillId="0" borderId="21" xfId="0" applyFont="1" applyBorder="1" applyAlignment="1">
      <alignment horizontal="center" vertical="center" textRotation="255"/>
    </xf>
    <xf numFmtId="0" fontId="29" fillId="0" borderId="1" xfId="0" applyFont="1" applyBorder="1" applyAlignment="1">
      <alignment horizontal="center" vertical="center" textRotation="255"/>
    </xf>
    <xf numFmtId="178" fontId="50" fillId="0" borderId="0" xfId="0" applyNumberFormat="1" applyFont="1" applyAlignment="1">
      <alignment horizontal="center" vertical="center"/>
    </xf>
    <xf numFmtId="0" fontId="51" fillId="6" borderId="0" xfId="0" applyFont="1" applyFill="1" applyAlignment="1" applyProtection="1">
      <alignment horizontal="center" vertical="center"/>
      <protection locked="0"/>
    </xf>
    <xf numFmtId="0" fontId="29" fillId="0" borderId="1" xfId="0" applyFont="1" applyBorder="1" applyAlignment="1">
      <alignment horizontal="center" vertical="center" textRotation="255" wrapText="1"/>
    </xf>
    <xf numFmtId="0" fontId="50" fillId="0" borderId="19" xfId="0" quotePrefix="1" applyFont="1" applyBorder="1" applyAlignment="1">
      <alignment horizontal="center" vertical="center"/>
    </xf>
    <xf numFmtId="0" fontId="50" fillId="0" borderId="20" xfId="0" quotePrefix="1" applyFont="1" applyBorder="1" applyAlignment="1">
      <alignment horizontal="center" vertical="center"/>
    </xf>
    <xf numFmtId="0" fontId="50" fillId="0" borderId="21" xfId="0" quotePrefix="1" applyFont="1" applyBorder="1" applyAlignment="1">
      <alignment horizontal="center" vertical="center"/>
    </xf>
    <xf numFmtId="0" fontId="50" fillId="0" borderId="19" xfId="0" applyFont="1" applyBorder="1" applyAlignment="1">
      <alignment horizontal="center" vertical="center"/>
    </xf>
    <xf numFmtId="0" fontId="50" fillId="0" borderId="20" xfId="0" applyFont="1" applyBorder="1" applyAlignment="1">
      <alignment horizontal="center" vertical="center"/>
    </xf>
    <xf numFmtId="0" fontId="50" fillId="0" borderId="21" xfId="0" applyFont="1" applyBorder="1" applyAlignment="1">
      <alignment horizontal="center" vertical="center"/>
    </xf>
    <xf numFmtId="0" fontId="50" fillId="0" borderId="19" xfId="0" quotePrefix="1" applyFont="1" applyBorder="1" applyAlignment="1">
      <alignment horizontal="center" vertical="center" shrinkToFit="1"/>
    </xf>
    <xf numFmtId="0" fontId="50" fillId="0" borderId="20" xfId="0" quotePrefix="1" applyFont="1" applyBorder="1" applyAlignment="1">
      <alignment horizontal="center" vertical="center" shrinkToFit="1"/>
    </xf>
    <xf numFmtId="0" fontId="50" fillId="0" borderId="21" xfId="0" quotePrefix="1" applyFont="1" applyBorder="1" applyAlignment="1">
      <alignment horizontal="center" vertical="center" shrinkToFit="1"/>
    </xf>
    <xf numFmtId="0" fontId="50" fillId="0" borderId="19" xfId="0" applyFont="1" applyBorder="1" applyAlignment="1">
      <alignment horizontal="center" vertical="center" shrinkToFit="1"/>
    </xf>
    <xf numFmtId="0" fontId="50" fillId="0" borderId="20" xfId="0" applyFont="1" applyBorder="1" applyAlignment="1">
      <alignment horizontal="center" vertical="center" shrinkToFit="1"/>
    </xf>
    <xf numFmtId="0" fontId="50" fillId="0" borderId="21" xfId="0" applyFont="1" applyBorder="1" applyAlignment="1">
      <alignment horizontal="center" vertical="center" shrinkToFit="1"/>
    </xf>
    <xf numFmtId="10" fontId="50" fillId="0" borderId="19" xfId="2" applyNumberFormat="1" applyFont="1" applyBorder="1" applyAlignment="1">
      <alignment horizontal="center" vertical="center"/>
    </xf>
    <xf numFmtId="10" fontId="50" fillId="0" borderId="20" xfId="2" applyNumberFormat="1" applyFont="1" applyBorder="1" applyAlignment="1">
      <alignment horizontal="center" vertical="center"/>
    </xf>
    <xf numFmtId="10" fontId="50" fillId="0" borderId="21" xfId="2" applyNumberFormat="1" applyFont="1" applyBorder="1" applyAlignment="1">
      <alignment horizontal="center" vertical="center"/>
    </xf>
    <xf numFmtId="0" fontId="49" fillId="0" borderId="77" xfId="0" applyFont="1" applyBorder="1" applyAlignment="1">
      <alignment horizontal="center" vertical="center"/>
    </xf>
    <xf numFmtId="0" fontId="49" fillId="0" borderId="23" xfId="0" applyFont="1" applyBorder="1" applyAlignment="1">
      <alignment horizontal="center" vertical="center"/>
    </xf>
    <xf numFmtId="0" fontId="49" fillId="0" borderId="76" xfId="0" applyFont="1" applyBorder="1" applyAlignment="1">
      <alignment horizontal="center" vertical="center"/>
    </xf>
    <xf numFmtId="0" fontId="49" fillId="0" borderId="22" xfId="0" applyFont="1" applyBorder="1" applyAlignment="1">
      <alignment horizontal="center" vertical="center"/>
    </xf>
    <xf numFmtId="180" fontId="50" fillId="0" borderId="4" xfId="0" applyNumberFormat="1" applyFont="1" applyBorder="1" applyAlignment="1">
      <alignment horizontal="center" vertical="center"/>
    </xf>
    <xf numFmtId="180" fontId="50" fillId="0" borderId="5" xfId="0" applyNumberFormat="1" applyFont="1" applyBorder="1" applyAlignment="1">
      <alignment horizontal="center" vertical="center"/>
    </xf>
    <xf numFmtId="0" fontId="50" fillId="0" borderId="5" xfId="0" applyFont="1" applyBorder="1" applyAlignment="1">
      <alignment horizontal="center" vertical="center"/>
    </xf>
    <xf numFmtId="0" fontId="50" fillId="0" borderId="5" xfId="0" applyNumberFormat="1" applyFont="1" applyBorder="1" applyAlignment="1">
      <alignment horizontal="center" vertical="center"/>
    </xf>
    <xf numFmtId="0" fontId="50" fillId="0" borderId="79" xfId="0" applyNumberFormat="1" applyFont="1" applyBorder="1" applyAlignment="1">
      <alignment horizontal="center" vertical="center"/>
    </xf>
    <xf numFmtId="180" fontId="50" fillId="0" borderId="70" xfId="0" applyNumberFormat="1" applyFont="1" applyBorder="1" applyAlignment="1">
      <alignment horizontal="center" vertical="center"/>
    </xf>
    <xf numFmtId="0" fontId="50" fillId="0" borderId="6" xfId="0" applyFont="1" applyBorder="1" applyAlignment="1">
      <alignment horizontal="center" vertical="center"/>
    </xf>
    <xf numFmtId="0" fontId="49" fillId="0" borderId="75" xfId="0" applyFont="1" applyBorder="1" applyAlignment="1">
      <alignment horizontal="center" vertical="center"/>
    </xf>
    <xf numFmtId="0" fontId="49" fillId="0" borderId="78" xfId="0" applyFont="1" applyBorder="1" applyAlignment="1">
      <alignment horizontal="center" vertical="center"/>
    </xf>
    <xf numFmtId="0" fontId="50" fillId="0" borderId="1" xfId="0" applyFont="1" applyBorder="1" applyAlignment="1">
      <alignment horizontal="center" vertical="center"/>
    </xf>
    <xf numFmtId="0" fontId="50" fillId="0" borderId="8" xfId="0" applyFont="1" applyBorder="1" applyAlignment="1">
      <alignment horizontal="center" vertical="center"/>
    </xf>
    <xf numFmtId="180" fontId="50" fillId="0" borderId="7" xfId="0" applyNumberFormat="1" applyFont="1" applyBorder="1" applyAlignment="1">
      <alignment horizontal="center" vertical="center"/>
    </xf>
    <xf numFmtId="180" fontId="50" fillId="0" borderId="1" xfId="0" applyNumberFormat="1" applyFont="1" applyBorder="1" applyAlignment="1">
      <alignment horizontal="center" vertical="center"/>
    </xf>
    <xf numFmtId="0" fontId="50" fillId="0" borderId="1" xfId="0" applyNumberFormat="1" applyFont="1" applyBorder="1" applyAlignment="1">
      <alignment horizontal="center" vertical="center"/>
    </xf>
    <xf numFmtId="0" fontId="50" fillId="0" borderId="80" xfId="0" applyNumberFormat="1" applyFont="1" applyBorder="1" applyAlignment="1">
      <alignment horizontal="center" vertical="center"/>
    </xf>
    <xf numFmtId="180" fontId="50" fillId="0" borderId="21" xfId="0" applyNumberFormat="1" applyFont="1" applyBorder="1" applyAlignment="1">
      <alignment horizontal="center" vertical="center"/>
    </xf>
    <xf numFmtId="0" fontId="50" fillId="0" borderId="14" xfId="0" applyFont="1" applyBorder="1" applyAlignment="1" applyProtection="1">
      <alignment horizontal="left" vertical="center"/>
      <protection locked="0"/>
    </xf>
    <xf numFmtId="0" fontId="50" fillId="0" borderId="0" xfId="0" applyFont="1" applyBorder="1" applyAlignment="1" applyProtection="1">
      <alignment horizontal="left" vertical="center"/>
      <protection locked="0"/>
    </xf>
    <xf numFmtId="0" fontId="50" fillId="0" borderId="15" xfId="0" applyFont="1" applyBorder="1" applyAlignment="1" applyProtection="1">
      <alignment horizontal="left" vertical="center"/>
      <protection locked="0"/>
    </xf>
    <xf numFmtId="0" fontId="50" fillId="0" borderId="72" xfId="0" applyFont="1" applyBorder="1" applyAlignment="1">
      <alignment horizontal="center" vertical="center"/>
    </xf>
    <xf numFmtId="0" fontId="50" fillId="0" borderId="74" xfId="0" applyFont="1" applyBorder="1" applyAlignment="1">
      <alignment horizontal="center" vertical="center"/>
    </xf>
    <xf numFmtId="0" fontId="50" fillId="0" borderId="0" xfId="0" applyFont="1" applyBorder="1" applyAlignment="1">
      <alignment horizontal="center" vertical="center"/>
    </xf>
    <xf numFmtId="180" fontId="50" fillId="0" borderId="9" xfId="0" applyNumberFormat="1" applyFont="1" applyBorder="1" applyAlignment="1">
      <alignment horizontal="center" vertical="center"/>
    </xf>
    <xf numFmtId="180" fontId="50" fillId="0" borderId="10" xfId="0" applyNumberFormat="1" applyFont="1" applyBorder="1" applyAlignment="1">
      <alignment horizontal="center" vertical="center"/>
    </xf>
    <xf numFmtId="0" fontId="50" fillId="0" borderId="10" xfId="0" applyFont="1" applyBorder="1" applyAlignment="1">
      <alignment horizontal="center" vertical="center"/>
    </xf>
    <xf numFmtId="0" fontId="50" fillId="0" borderId="10" xfId="0" applyNumberFormat="1" applyFont="1" applyBorder="1" applyAlignment="1">
      <alignment horizontal="center" vertical="center"/>
    </xf>
    <xf numFmtId="0" fontId="50" fillId="0" borderId="81" xfId="0" applyNumberFormat="1" applyFont="1" applyBorder="1" applyAlignment="1">
      <alignment horizontal="center" vertical="center"/>
    </xf>
    <xf numFmtId="180" fontId="50" fillId="0" borderId="73" xfId="0" applyNumberFormat="1" applyFont="1" applyBorder="1" applyAlignment="1">
      <alignment horizontal="center" vertical="center"/>
    </xf>
    <xf numFmtId="180" fontId="50" fillId="0" borderId="72" xfId="0" applyNumberFormat="1" applyFont="1" applyBorder="1" applyAlignment="1">
      <alignment horizontal="center" vertical="center"/>
    </xf>
    <xf numFmtId="0" fontId="54" fillId="0" borderId="11" xfId="0" applyFont="1" applyBorder="1" applyAlignment="1">
      <alignment horizontal="center" vertical="center"/>
    </xf>
    <xf numFmtId="0" fontId="54" fillId="0" borderId="12" xfId="0" applyFont="1" applyBorder="1" applyAlignment="1">
      <alignment horizontal="center" vertical="center"/>
    </xf>
    <xf numFmtId="0" fontId="51" fillId="6" borderId="12"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protection locked="0"/>
    </xf>
    <xf numFmtId="183" fontId="50" fillId="0" borderId="7" xfId="0" applyNumberFormat="1" applyFont="1" applyBorder="1" applyAlignment="1">
      <alignment horizontal="center" vertical="center"/>
    </xf>
    <xf numFmtId="183" fontId="50" fillId="0" borderId="1" xfId="0" applyNumberFormat="1" applyFont="1" applyBorder="1" applyAlignment="1">
      <alignment horizontal="center" vertical="center"/>
    </xf>
    <xf numFmtId="183" fontId="50" fillId="0" borderId="9" xfId="0" applyNumberFormat="1" applyFont="1" applyBorder="1" applyAlignment="1">
      <alignment horizontal="center" vertical="center"/>
    </xf>
    <xf numFmtId="183" fontId="50" fillId="0" borderId="10" xfId="0" applyNumberFormat="1" applyFont="1" applyBorder="1" applyAlignment="1">
      <alignment horizontal="center" vertical="center"/>
    </xf>
    <xf numFmtId="184" fontId="50" fillId="0" borderId="1" xfId="0" applyNumberFormat="1" applyFont="1" applyBorder="1" applyAlignment="1">
      <alignment horizontal="center" vertical="center"/>
    </xf>
    <xf numFmtId="184" fontId="50" fillId="0" borderId="19" xfId="0" applyNumberFormat="1" applyFont="1" applyBorder="1" applyAlignment="1">
      <alignment horizontal="center" vertical="center"/>
    </xf>
    <xf numFmtId="184" fontId="50" fillId="0" borderId="10" xfId="0" applyNumberFormat="1" applyFont="1" applyBorder="1" applyAlignment="1">
      <alignment horizontal="center" vertical="center"/>
    </xf>
    <xf numFmtId="184" fontId="50" fillId="0" borderId="68" xfId="0" applyNumberFormat="1" applyFont="1" applyBorder="1" applyAlignment="1">
      <alignment horizontal="center" vertical="center"/>
    </xf>
    <xf numFmtId="0" fontId="29" fillId="0" borderId="19" xfId="0" applyFont="1" applyBorder="1" applyAlignment="1">
      <alignment horizontal="center" vertical="center"/>
    </xf>
    <xf numFmtId="0" fontId="29" fillId="0" borderId="2" xfId="0" applyFont="1" applyBorder="1" applyAlignment="1">
      <alignment horizontal="center" vertical="center" textRotation="255" wrapText="1"/>
    </xf>
    <xf numFmtId="0" fontId="29" fillId="0" borderId="24" xfId="0" applyFont="1" applyBorder="1" applyAlignment="1">
      <alignment horizontal="center" vertical="center" textRotation="255" wrapText="1"/>
    </xf>
    <xf numFmtId="0" fontId="29" fillId="0" borderId="3" xfId="0" applyFont="1" applyBorder="1" applyAlignment="1">
      <alignment horizontal="center" vertical="center" textRotation="255" wrapText="1"/>
    </xf>
    <xf numFmtId="0" fontId="50" fillId="0" borderId="1" xfId="0" quotePrefix="1" applyFont="1" applyBorder="1" applyAlignment="1">
      <alignment horizontal="center" vertical="center"/>
    </xf>
    <xf numFmtId="183" fontId="50" fillId="0" borderId="4" xfId="0" applyNumberFormat="1" applyFont="1" applyBorder="1" applyAlignment="1">
      <alignment horizontal="center" vertical="center"/>
    </xf>
    <xf numFmtId="183" fontId="50" fillId="0" borderId="5" xfId="0" applyNumberFormat="1" applyFont="1" applyBorder="1" applyAlignment="1">
      <alignment horizontal="center" vertical="center"/>
    </xf>
    <xf numFmtId="10" fontId="50" fillId="0" borderId="1" xfId="2" applyNumberFormat="1" applyFont="1" applyBorder="1" applyAlignment="1">
      <alignment horizontal="center" vertical="center"/>
    </xf>
    <xf numFmtId="184" fontId="50" fillId="0" borderId="5" xfId="0" applyNumberFormat="1" applyFont="1" applyBorder="1" applyAlignment="1">
      <alignment horizontal="center" vertical="center"/>
    </xf>
    <xf numFmtId="184" fontId="50" fillId="0" borderId="6" xfId="0" applyNumberFormat="1" applyFont="1" applyBorder="1" applyAlignment="1">
      <alignment horizontal="center" vertical="center"/>
    </xf>
    <xf numFmtId="184" fontId="50" fillId="0" borderId="8" xfId="0" applyNumberFormat="1" applyFont="1" applyBorder="1" applyAlignment="1">
      <alignment horizontal="center" vertical="center"/>
    </xf>
    <xf numFmtId="0" fontId="50" fillId="6" borderId="0" xfId="0" applyFont="1" applyFill="1" applyAlignment="1">
      <alignment horizontal="center" vertical="center"/>
    </xf>
    <xf numFmtId="184" fontId="50" fillId="0" borderId="29" xfId="0" applyNumberFormat="1" applyFont="1" applyBorder="1" applyAlignment="1">
      <alignment horizontal="center" vertical="center"/>
    </xf>
    <xf numFmtId="177" fontId="50" fillId="0" borderId="0" xfId="0" applyNumberFormat="1" applyFont="1" applyAlignment="1">
      <alignment horizontal="center" vertical="center"/>
    </xf>
    <xf numFmtId="0" fontId="50" fillId="0" borderId="1" xfId="0" quotePrefix="1" applyFont="1" applyBorder="1" applyAlignment="1">
      <alignment horizontal="center" vertical="center" shrinkToFit="1"/>
    </xf>
    <xf numFmtId="0" fontId="50" fillId="0" borderId="1" xfId="0" applyFont="1" applyBorder="1" applyAlignment="1">
      <alignment horizontal="center" vertical="center" shrinkToFit="1"/>
    </xf>
    <xf numFmtId="0" fontId="51" fillId="6" borderId="12" xfId="0" applyFont="1" applyFill="1" applyBorder="1" applyAlignment="1" applyProtection="1">
      <alignment horizontal="left" vertical="center"/>
      <protection locked="0"/>
    </xf>
    <xf numFmtId="0" fontId="51" fillId="6" borderId="13" xfId="0" applyFont="1" applyFill="1" applyBorder="1" applyAlignment="1" applyProtection="1">
      <alignment horizontal="left" vertical="center"/>
      <protection locked="0"/>
    </xf>
    <xf numFmtId="184" fontId="50" fillId="0" borderId="30" xfId="0" applyNumberFormat="1" applyFont="1" applyBorder="1" applyAlignment="1">
      <alignment horizontal="center" vertical="center"/>
    </xf>
    <xf numFmtId="0" fontId="34" fillId="0" borderId="0" xfId="0" applyFont="1" applyFill="1" applyBorder="1" applyAlignment="1">
      <alignment vertical="center"/>
    </xf>
    <xf numFmtId="0" fontId="34" fillId="0" borderId="15" xfId="0" applyFont="1" applyFill="1" applyBorder="1" applyAlignment="1">
      <alignment vertical="center"/>
    </xf>
    <xf numFmtId="0" fontId="11" fillId="0" borderId="43" xfId="0" applyFont="1" applyBorder="1" applyAlignment="1" applyProtection="1">
      <alignment horizontal="center" vertical="center" shrinkToFit="1"/>
      <protection locked="0"/>
    </xf>
    <xf numFmtId="0" fontId="11" fillId="0" borderId="44" xfId="0" applyFont="1" applyBorder="1" applyAlignment="1" applyProtection="1">
      <alignment horizontal="center" vertical="center" shrinkToFit="1"/>
      <protection locked="0"/>
    </xf>
    <xf numFmtId="0" fontId="11" fillId="0" borderId="13" xfId="0" applyFont="1" applyBorder="1" applyAlignment="1" applyProtection="1">
      <alignment horizontal="center" vertical="center" shrinkToFit="1"/>
      <protection locked="0"/>
    </xf>
    <xf numFmtId="0" fontId="11" fillId="0" borderId="64" xfId="0" applyFont="1" applyBorder="1" applyAlignment="1" applyProtection="1">
      <alignment horizontal="center" vertical="center" shrinkToFit="1"/>
      <protection locked="0"/>
    </xf>
    <xf numFmtId="0" fontId="11" fillId="0" borderId="59" xfId="0" applyFont="1" applyBorder="1" applyAlignment="1" applyProtection="1">
      <alignment horizontal="center" vertical="center" shrinkToFit="1"/>
      <protection locked="0"/>
    </xf>
    <xf numFmtId="0" fontId="11" fillId="0" borderId="60" xfId="0" applyFont="1" applyBorder="1" applyAlignment="1" applyProtection="1">
      <alignment horizontal="center" vertical="center" shrinkToFit="1"/>
      <protection locked="0"/>
    </xf>
    <xf numFmtId="0" fontId="11" fillId="0" borderId="57" xfId="0" applyFont="1" applyBorder="1" applyAlignment="1" applyProtection="1">
      <alignment horizontal="center" vertical="center" shrinkToFit="1"/>
      <protection locked="0"/>
    </xf>
    <xf numFmtId="0" fontId="11" fillId="0" borderId="61" xfId="0" applyFont="1" applyBorder="1" applyAlignment="1" applyProtection="1">
      <alignment horizontal="center" vertical="center" shrinkToFit="1"/>
      <protection locked="0"/>
    </xf>
  </cellXfs>
  <cellStyles count="3">
    <cellStyle name="パーセント" xfId="2" builtinId="5"/>
    <cellStyle name="標準" xfId="0" builtinId="0"/>
    <cellStyle name="標準 2" xfId="1" xr:uid="{00000000-0005-0000-0000-000003000000}"/>
  </cellStyles>
  <dxfs count="2805">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ont>
        <color theme="0"/>
      </font>
    </dxf>
    <dxf>
      <font>
        <color theme="0"/>
      </font>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ill>
        <patternFill>
          <bgColor theme="4" tint="0.79998168889431442"/>
        </patternFill>
      </fill>
    </dxf>
    <dxf>
      <fill>
        <patternFill>
          <bgColor theme="5" tint="0.59996337778862885"/>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border>
        <vertical/>
        <horizontal/>
      </border>
    </dxf>
    <dxf>
      <border>
        <vertical/>
        <horizontal/>
      </border>
    </dxf>
    <dxf>
      <numFmt numFmtId="0" formatCode="General"/>
      <fill>
        <patternFill>
          <bgColor rgb="FFFFCCFF"/>
        </patternFill>
      </fill>
    </dxf>
    <dxf>
      <fill>
        <patternFill patternType="none">
          <bgColor auto="1"/>
        </patternFill>
      </fill>
    </dxf>
    <dxf>
      <fill>
        <patternFill>
          <bgColor theme="4" tint="0.59996337778862885"/>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2" defaultPivotStyle="PivotStyleLight16"/>
  <colors>
    <mruColors>
      <color rgb="FFFF0000"/>
      <color rgb="FFFF9999"/>
      <color rgb="FFFFCC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Types" Target="richData/rdRichValueTypes.xml"/><Relationship Id="rId5" Type="http://schemas.openxmlformats.org/officeDocument/2006/relationships/theme" Target="theme/theme1.xml"/><Relationship Id="rId10" Type="http://schemas.microsoft.com/office/2017/06/relationships/rdRichValueStructure" Target="richData/rdrichvaluestructure.xml"/><Relationship Id="rId4" Type="http://schemas.openxmlformats.org/officeDocument/2006/relationships/worksheet" Target="worksheets/sheet4.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244929</xdr:colOff>
      <xdr:row>119</xdr:row>
      <xdr:rowOff>136072</xdr:rowOff>
    </xdr:from>
    <xdr:to>
      <xdr:col>23</xdr:col>
      <xdr:colOff>517071</xdr:colOff>
      <xdr:row>133</xdr:row>
      <xdr:rowOff>163287</xdr:rowOff>
    </xdr:to>
    <xdr:pic>
      <xdr:nvPicPr>
        <xdr:cNvPr id="104" name="図 103">
          <a:extLst>
            <a:ext uri="{FF2B5EF4-FFF2-40B4-BE49-F238E27FC236}">
              <a16:creationId xmlns:a16="http://schemas.microsoft.com/office/drawing/2014/main" id="{BBBEABC7-1645-4A29-AB1B-C9F8EE9A3740}"/>
            </a:ext>
          </a:extLst>
        </xdr:cNvPr>
        <xdr:cNvPicPr>
          <a:picLocks noChangeAspect="1"/>
        </xdr:cNvPicPr>
      </xdr:nvPicPr>
      <xdr:blipFill rotWithShape="1">
        <a:blip xmlns:r="http://schemas.openxmlformats.org/officeDocument/2006/relationships" r:embed="rId1"/>
        <a:srcRect l="1340" t="21564" r="16582" b="5941"/>
        <a:stretch/>
      </xdr:blipFill>
      <xdr:spPr>
        <a:xfrm>
          <a:off x="244929" y="62728929"/>
          <a:ext cx="15008678" cy="7456715"/>
        </a:xfrm>
        <a:prstGeom prst="rect">
          <a:avLst/>
        </a:prstGeom>
        <a:ln w="12700">
          <a:solidFill>
            <a:schemeClr val="accent5"/>
          </a:solidFill>
          <a:prstDash val="solid"/>
        </a:ln>
      </xdr:spPr>
    </xdr:pic>
    <xdr:clientData/>
  </xdr:twoCellAnchor>
  <xdr:twoCellAnchor editAs="oneCell">
    <xdr:from>
      <xdr:col>0</xdr:col>
      <xdr:colOff>122465</xdr:colOff>
      <xdr:row>95</xdr:row>
      <xdr:rowOff>449034</xdr:rowOff>
    </xdr:from>
    <xdr:to>
      <xdr:col>11</xdr:col>
      <xdr:colOff>312964</xdr:colOff>
      <xdr:row>109</xdr:row>
      <xdr:rowOff>367391</xdr:rowOff>
    </xdr:to>
    <xdr:pic>
      <xdr:nvPicPr>
        <xdr:cNvPr id="13" name="図 12">
          <a:extLst>
            <a:ext uri="{FF2B5EF4-FFF2-40B4-BE49-F238E27FC236}">
              <a16:creationId xmlns:a16="http://schemas.microsoft.com/office/drawing/2014/main" id="{E044E9D8-02B5-4CCF-862D-A760B683EA51}"/>
            </a:ext>
          </a:extLst>
        </xdr:cNvPr>
        <xdr:cNvPicPr>
          <a:picLocks noChangeAspect="1"/>
        </xdr:cNvPicPr>
      </xdr:nvPicPr>
      <xdr:blipFill rotWithShape="1">
        <a:blip xmlns:r="http://schemas.openxmlformats.org/officeDocument/2006/relationships" r:embed="rId2"/>
        <a:srcRect l="1563" t="21829" r="61453" b="6734"/>
        <a:stretch/>
      </xdr:blipFill>
      <xdr:spPr>
        <a:xfrm>
          <a:off x="122465" y="50917927"/>
          <a:ext cx="6762749" cy="7347857"/>
        </a:xfrm>
        <a:prstGeom prst="rect">
          <a:avLst/>
        </a:prstGeom>
        <a:ln w="12700">
          <a:solidFill>
            <a:schemeClr val="accent5"/>
          </a:solidFill>
        </a:ln>
      </xdr:spPr>
    </xdr:pic>
    <xdr:clientData/>
  </xdr:twoCellAnchor>
  <xdr:twoCellAnchor editAs="oneCell">
    <xdr:from>
      <xdr:col>0</xdr:col>
      <xdr:colOff>176893</xdr:colOff>
      <xdr:row>83</xdr:row>
      <xdr:rowOff>81643</xdr:rowOff>
    </xdr:from>
    <xdr:to>
      <xdr:col>11</xdr:col>
      <xdr:colOff>285751</xdr:colOff>
      <xdr:row>94</xdr:row>
      <xdr:rowOff>463726</xdr:rowOff>
    </xdr:to>
    <xdr:pic>
      <xdr:nvPicPr>
        <xdr:cNvPr id="12" name="図 11">
          <a:extLst>
            <a:ext uri="{FF2B5EF4-FFF2-40B4-BE49-F238E27FC236}">
              <a16:creationId xmlns:a16="http://schemas.microsoft.com/office/drawing/2014/main" id="{CC1AC1A7-C7ED-4E20-83D4-305FD6D6FC75}"/>
            </a:ext>
          </a:extLst>
        </xdr:cNvPr>
        <xdr:cNvPicPr>
          <a:picLocks noChangeAspect="1"/>
        </xdr:cNvPicPr>
      </xdr:nvPicPr>
      <xdr:blipFill rotWithShape="1">
        <a:blip xmlns:r="http://schemas.openxmlformats.org/officeDocument/2006/relationships" r:embed="rId3"/>
        <a:srcRect l="1563" t="21829" r="55352" b="6866"/>
        <a:stretch/>
      </xdr:blipFill>
      <xdr:spPr>
        <a:xfrm>
          <a:off x="176893" y="44182393"/>
          <a:ext cx="6681108" cy="6219547"/>
        </a:xfrm>
        <a:prstGeom prst="rect">
          <a:avLst/>
        </a:prstGeom>
        <a:ln w="12700">
          <a:solidFill>
            <a:schemeClr val="accent5"/>
          </a:solidFill>
        </a:ln>
      </xdr:spPr>
    </xdr:pic>
    <xdr:clientData/>
  </xdr:twoCellAnchor>
  <xdr:twoCellAnchor editAs="oneCell">
    <xdr:from>
      <xdr:col>0</xdr:col>
      <xdr:colOff>285750</xdr:colOff>
      <xdr:row>47</xdr:row>
      <xdr:rowOff>122463</xdr:rowOff>
    </xdr:from>
    <xdr:to>
      <xdr:col>23</xdr:col>
      <xdr:colOff>557892</xdr:colOff>
      <xdr:row>58</xdr:row>
      <xdr:rowOff>435428</xdr:rowOff>
    </xdr:to>
    <xdr:pic>
      <xdr:nvPicPr>
        <xdr:cNvPr id="54" name="図 53">
          <a:extLst>
            <a:ext uri="{FF2B5EF4-FFF2-40B4-BE49-F238E27FC236}">
              <a16:creationId xmlns:a16="http://schemas.microsoft.com/office/drawing/2014/main" id="{08F84C40-355F-4F76-8269-242F672F8160}"/>
            </a:ext>
          </a:extLst>
        </xdr:cNvPr>
        <xdr:cNvPicPr>
          <a:picLocks noChangeAspect="1"/>
        </xdr:cNvPicPr>
      </xdr:nvPicPr>
      <xdr:blipFill rotWithShape="1">
        <a:blip xmlns:r="http://schemas.openxmlformats.org/officeDocument/2006/relationships" r:embed="rId1"/>
        <a:srcRect l="1340" t="21564" r="16582" b="18641"/>
        <a:stretch/>
      </xdr:blipFill>
      <xdr:spPr>
        <a:xfrm>
          <a:off x="285750" y="25418142"/>
          <a:ext cx="15008678" cy="6150429"/>
        </a:xfrm>
        <a:prstGeom prst="rect">
          <a:avLst/>
        </a:prstGeom>
        <a:ln w="12700">
          <a:solidFill>
            <a:schemeClr val="accent5"/>
          </a:solidFill>
          <a:prstDash val="solid"/>
        </a:ln>
      </xdr:spPr>
    </xdr:pic>
    <xdr:clientData/>
  </xdr:twoCellAnchor>
  <xdr:twoCellAnchor editAs="oneCell">
    <xdr:from>
      <xdr:col>0</xdr:col>
      <xdr:colOff>231322</xdr:colOff>
      <xdr:row>18</xdr:row>
      <xdr:rowOff>27215</xdr:rowOff>
    </xdr:from>
    <xdr:to>
      <xdr:col>23</xdr:col>
      <xdr:colOff>503464</xdr:colOff>
      <xdr:row>32</xdr:row>
      <xdr:rowOff>54430</xdr:rowOff>
    </xdr:to>
    <xdr:pic>
      <xdr:nvPicPr>
        <xdr:cNvPr id="4" name="図 3">
          <a:extLst>
            <a:ext uri="{FF2B5EF4-FFF2-40B4-BE49-F238E27FC236}">
              <a16:creationId xmlns:a16="http://schemas.microsoft.com/office/drawing/2014/main" id="{1DFF065E-5C71-4187-894C-8A12C3800981}"/>
            </a:ext>
          </a:extLst>
        </xdr:cNvPr>
        <xdr:cNvPicPr>
          <a:picLocks noChangeAspect="1"/>
        </xdr:cNvPicPr>
      </xdr:nvPicPr>
      <xdr:blipFill rotWithShape="1">
        <a:blip xmlns:r="http://schemas.openxmlformats.org/officeDocument/2006/relationships" r:embed="rId1"/>
        <a:srcRect l="1340" t="21564" r="16582" b="5941"/>
        <a:stretch/>
      </xdr:blipFill>
      <xdr:spPr>
        <a:xfrm>
          <a:off x="231322" y="9933215"/>
          <a:ext cx="15008678" cy="7456715"/>
        </a:xfrm>
        <a:prstGeom prst="rect">
          <a:avLst/>
        </a:prstGeom>
        <a:ln w="12700">
          <a:solidFill>
            <a:schemeClr val="accent5"/>
          </a:solidFill>
          <a:prstDash val="solid"/>
        </a:ln>
      </xdr:spPr>
    </xdr:pic>
    <xdr:clientData/>
  </xdr:twoCellAnchor>
  <xdr:twoCellAnchor>
    <xdr:from>
      <xdr:col>3</xdr:col>
      <xdr:colOff>136070</xdr:colOff>
      <xdr:row>20</xdr:row>
      <xdr:rowOff>81643</xdr:rowOff>
    </xdr:from>
    <xdr:to>
      <xdr:col>13</xdr:col>
      <xdr:colOff>285750</xdr:colOff>
      <xdr:row>21</xdr:row>
      <xdr:rowOff>40823</xdr:rowOff>
    </xdr:to>
    <xdr:sp macro="" textlink="">
      <xdr:nvSpPr>
        <xdr:cNvPr id="42" name="正方形/長方形 41">
          <a:extLst>
            <a:ext uri="{FF2B5EF4-FFF2-40B4-BE49-F238E27FC236}">
              <a16:creationId xmlns:a16="http://schemas.microsoft.com/office/drawing/2014/main" id="{9394540C-7F71-4F7B-9259-F88814BC37DA}"/>
            </a:ext>
          </a:extLst>
        </xdr:cNvPr>
        <xdr:cNvSpPr/>
      </xdr:nvSpPr>
      <xdr:spPr>
        <a:xfrm>
          <a:off x="1578427" y="11375572"/>
          <a:ext cx="6640287" cy="489858"/>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5</xdr:col>
      <xdr:colOff>340179</xdr:colOff>
      <xdr:row>21</xdr:row>
      <xdr:rowOff>136073</xdr:rowOff>
    </xdr:from>
    <xdr:to>
      <xdr:col>7</xdr:col>
      <xdr:colOff>585108</xdr:colOff>
      <xdr:row>21</xdr:row>
      <xdr:rowOff>394607</xdr:rowOff>
    </xdr:to>
    <xdr:sp macro="" textlink="">
      <xdr:nvSpPr>
        <xdr:cNvPr id="43" name="正方形/長方形 42">
          <a:extLst>
            <a:ext uri="{FF2B5EF4-FFF2-40B4-BE49-F238E27FC236}">
              <a16:creationId xmlns:a16="http://schemas.microsoft.com/office/drawing/2014/main" id="{FD4851FE-DC21-4E2C-B927-496A17CB8DBC}"/>
            </a:ext>
          </a:extLst>
        </xdr:cNvPr>
        <xdr:cNvSpPr/>
      </xdr:nvSpPr>
      <xdr:spPr>
        <a:xfrm>
          <a:off x="2667000" y="11960680"/>
          <a:ext cx="1768929" cy="258534"/>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en-US" altLang="ja-JP" sz="2000" b="1">
            <a:solidFill>
              <a:schemeClr val="tx1"/>
            </a:solidFill>
            <a:latin typeface="Yu Gothic UI Semilight" panose="020B0400000000000000" pitchFamily="50" charset="-128"/>
            <a:ea typeface="Yu Gothic UI Semilight" panose="020B0400000000000000" pitchFamily="50" charset="-128"/>
          </a:endParaRPr>
        </a:p>
        <a:p>
          <a:pPr algn="l"/>
          <a:endParaRPr kumimoji="1" lang="en-US" altLang="ja-JP" sz="1100"/>
        </a:p>
        <a:p>
          <a:pPr algn="l"/>
          <a:endParaRPr kumimoji="1" lang="ja-JP" altLang="en-US" sz="1100"/>
        </a:p>
      </xdr:txBody>
    </xdr:sp>
    <xdr:clientData/>
  </xdr:twoCellAnchor>
  <xdr:twoCellAnchor>
    <xdr:from>
      <xdr:col>0</xdr:col>
      <xdr:colOff>234043</xdr:colOff>
      <xdr:row>28</xdr:row>
      <xdr:rowOff>55791</xdr:rowOff>
    </xdr:from>
    <xdr:to>
      <xdr:col>19</xdr:col>
      <xdr:colOff>149679</xdr:colOff>
      <xdr:row>31</xdr:row>
      <xdr:rowOff>231322</xdr:rowOff>
    </xdr:to>
    <xdr:sp macro="" textlink="">
      <xdr:nvSpPr>
        <xdr:cNvPr id="44" name="正方形/長方形 43">
          <a:extLst>
            <a:ext uri="{FF2B5EF4-FFF2-40B4-BE49-F238E27FC236}">
              <a16:creationId xmlns:a16="http://schemas.microsoft.com/office/drawing/2014/main" id="{8E7E901F-2D98-4C04-A087-0100C7BEBBAE}"/>
            </a:ext>
          </a:extLst>
        </xdr:cNvPr>
        <xdr:cNvSpPr/>
      </xdr:nvSpPr>
      <xdr:spPr>
        <a:xfrm>
          <a:off x="234043" y="15595148"/>
          <a:ext cx="11930743" cy="1767567"/>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13</xdr:col>
      <xdr:colOff>258535</xdr:colOff>
      <xdr:row>19</xdr:row>
      <xdr:rowOff>312965</xdr:rowOff>
    </xdr:from>
    <xdr:to>
      <xdr:col>14</xdr:col>
      <xdr:colOff>81643</xdr:colOff>
      <xdr:row>20</xdr:row>
      <xdr:rowOff>285750</xdr:rowOff>
    </xdr:to>
    <xdr:sp macro="" textlink="">
      <xdr:nvSpPr>
        <xdr:cNvPr id="45" name="吹き出し: 四角形 44">
          <a:extLst>
            <a:ext uri="{FF2B5EF4-FFF2-40B4-BE49-F238E27FC236}">
              <a16:creationId xmlns:a16="http://schemas.microsoft.com/office/drawing/2014/main" id="{BE7F6166-0CD4-4B13-A595-91B2C6554927}"/>
            </a:ext>
          </a:extLst>
        </xdr:cNvPr>
        <xdr:cNvSpPr/>
      </xdr:nvSpPr>
      <xdr:spPr>
        <a:xfrm>
          <a:off x="8191499" y="11076215"/>
          <a:ext cx="503465" cy="503464"/>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200" b="1">
              <a:solidFill>
                <a:schemeClr val="tx1"/>
              </a:solidFill>
              <a:latin typeface="Yu Gothic UI Semilight" panose="020B0400000000000000" pitchFamily="50" charset="-128"/>
              <a:ea typeface="Yu Gothic UI Semilight" panose="020B0400000000000000" pitchFamily="50" charset="-128"/>
            </a:rPr>
            <a:t>①</a:t>
          </a:r>
        </a:p>
      </xdr:txBody>
    </xdr:sp>
    <xdr:clientData/>
  </xdr:twoCellAnchor>
  <xdr:twoCellAnchor>
    <xdr:from>
      <xdr:col>6</xdr:col>
      <xdr:colOff>16328</xdr:colOff>
      <xdr:row>21</xdr:row>
      <xdr:rowOff>506187</xdr:rowOff>
    </xdr:from>
    <xdr:to>
      <xdr:col>6</xdr:col>
      <xdr:colOff>478971</xdr:colOff>
      <xdr:row>22</xdr:row>
      <xdr:rowOff>462644</xdr:rowOff>
    </xdr:to>
    <xdr:sp macro="" textlink="">
      <xdr:nvSpPr>
        <xdr:cNvPr id="46" name="吹き出し: 四角形 45">
          <a:extLst>
            <a:ext uri="{FF2B5EF4-FFF2-40B4-BE49-F238E27FC236}">
              <a16:creationId xmlns:a16="http://schemas.microsoft.com/office/drawing/2014/main" id="{29F6C899-C356-4C82-B4EC-AC6A8900594B}"/>
            </a:ext>
          </a:extLst>
        </xdr:cNvPr>
        <xdr:cNvSpPr/>
      </xdr:nvSpPr>
      <xdr:spPr>
        <a:xfrm>
          <a:off x="3377292" y="12330794"/>
          <a:ext cx="462643" cy="487136"/>
        </a:xfrm>
        <a:prstGeom prst="wedgeRectCallout">
          <a:avLst>
            <a:gd name="adj1" fmla="val -84873"/>
            <a:gd name="adj2" fmla="val -63112"/>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200" b="1">
              <a:solidFill>
                <a:schemeClr val="tx1"/>
              </a:solidFill>
              <a:latin typeface="Yu Gothic UI Semilight" panose="020B0400000000000000" pitchFamily="50" charset="-128"/>
              <a:ea typeface="Yu Gothic UI Semilight" panose="020B0400000000000000" pitchFamily="50" charset="-128"/>
            </a:rPr>
            <a:t>②</a:t>
          </a:r>
        </a:p>
      </xdr:txBody>
    </xdr:sp>
    <xdr:clientData/>
  </xdr:twoCellAnchor>
  <xdr:twoCellAnchor>
    <xdr:from>
      <xdr:col>9</xdr:col>
      <xdr:colOff>587827</xdr:colOff>
      <xdr:row>21</xdr:row>
      <xdr:rowOff>125188</xdr:rowOff>
    </xdr:from>
    <xdr:to>
      <xdr:col>12</xdr:col>
      <xdr:colOff>315685</xdr:colOff>
      <xdr:row>21</xdr:row>
      <xdr:rowOff>383722</xdr:rowOff>
    </xdr:to>
    <xdr:sp macro="" textlink="">
      <xdr:nvSpPr>
        <xdr:cNvPr id="47" name="正方形/長方形 46">
          <a:extLst>
            <a:ext uri="{FF2B5EF4-FFF2-40B4-BE49-F238E27FC236}">
              <a16:creationId xmlns:a16="http://schemas.microsoft.com/office/drawing/2014/main" id="{D3368F85-908A-4F23-BB67-3733961DF4B3}"/>
            </a:ext>
          </a:extLst>
        </xdr:cNvPr>
        <xdr:cNvSpPr/>
      </xdr:nvSpPr>
      <xdr:spPr>
        <a:xfrm>
          <a:off x="5799363" y="11949795"/>
          <a:ext cx="1768929" cy="258534"/>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en-US" altLang="ja-JP" sz="2000" b="1">
            <a:solidFill>
              <a:schemeClr val="tx1"/>
            </a:solidFill>
            <a:latin typeface="Yu Gothic UI Semilight" panose="020B0400000000000000" pitchFamily="50" charset="-128"/>
            <a:ea typeface="Yu Gothic UI Semilight" panose="020B0400000000000000" pitchFamily="50" charset="-128"/>
          </a:endParaRPr>
        </a:p>
        <a:p>
          <a:pPr algn="l"/>
          <a:endParaRPr kumimoji="1" lang="en-US" altLang="ja-JP" sz="1100"/>
        </a:p>
        <a:p>
          <a:pPr algn="l"/>
          <a:endParaRPr kumimoji="1" lang="ja-JP" altLang="en-US" sz="1100"/>
        </a:p>
      </xdr:txBody>
    </xdr:sp>
    <xdr:clientData/>
  </xdr:twoCellAnchor>
  <xdr:twoCellAnchor>
    <xdr:from>
      <xdr:col>10</xdr:col>
      <xdr:colOff>590548</xdr:colOff>
      <xdr:row>21</xdr:row>
      <xdr:rowOff>495300</xdr:rowOff>
    </xdr:from>
    <xdr:to>
      <xdr:col>11</xdr:col>
      <xdr:colOff>372834</xdr:colOff>
      <xdr:row>22</xdr:row>
      <xdr:rowOff>421820</xdr:rowOff>
    </xdr:to>
    <xdr:sp macro="" textlink="">
      <xdr:nvSpPr>
        <xdr:cNvPr id="48" name="吹き出し: 四角形 47">
          <a:extLst>
            <a:ext uri="{FF2B5EF4-FFF2-40B4-BE49-F238E27FC236}">
              <a16:creationId xmlns:a16="http://schemas.microsoft.com/office/drawing/2014/main" id="{F92A287E-B3D8-438D-AAC6-00919B6B7859}"/>
            </a:ext>
          </a:extLst>
        </xdr:cNvPr>
        <xdr:cNvSpPr/>
      </xdr:nvSpPr>
      <xdr:spPr>
        <a:xfrm>
          <a:off x="6482441" y="12319907"/>
          <a:ext cx="462643" cy="457199"/>
        </a:xfrm>
        <a:prstGeom prst="wedgeRectCallout">
          <a:avLst>
            <a:gd name="adj1" fmla="val -84873"/>
            <a:gd name="adj2" fmla="val -63112"/>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200" b="1">
              <a:solidFill>
                <a:schemeClr val="tx1"/>
              </a:solidFill>
              <a:latin typeface="Yu Gothic UI Semilight" panose="020B0400000000000000" pitchFamily="50" charset="-128"/>
              <a:ea typeface="Yu Gothic UI Semilight" panose="020B0400000000000000" pitchFamily="50" charset="-128"/>
            </a:rPr>
            <a:t>③</a:t>
          </a:r>
        </a:p>
      </xdr:txBody>
    </xdr:sp>
    <xdr:clientData/>
  </xdr:twoCellAnchor>
  <xdr:twoCellAnchor>
    <xdr:from>
      <xdr:col>19</xdr:col>
      <xdr:colOff>280306</xdr:colOff>
      <xdr:row>28</xdr:row>
      <xdr:rowOff>416378</xdr:rowOff>
    </xdr:from>
    <xdr:to>
      <xdr:col>20</xdr:col>
      <xdr:colOff>62592</xdr:colOff>
      <xdr:row>29</xdr:row>
      <xdr:rowOff>342899</xdr:rowOff>
    </xdr:to>
    <xdr:sp macro="" textlink="">
      <xdr:nvSpPr>
        <xdr:cNvPr id="49" name="吹き出し: 四角形 48">
          <a:extLst>
            <a:ext uri="{FF2B5EF4-FFF2-40B4-BE49-F238E27FC236}">
              <a16:creationId xmlns:a16="http://schemas.microsoft.com/office/drawing/2014/main" id="{FE8EEBE4-7D7E-46A2-A4EF-170117E273AA}"/>
            </a:ext>
          </a:extLst>
        </xdr:cNvPr>
        <xdr:cNvSpPr/>
      </xdr:nvSpPr>
      <xdr:spPr>
        <a:xfrm>
          <a:off x="12295413" y="15955735"/>
          <a:ext cx="462643" cy="457200"/>
        </a:xfrm>
        <a:prstGeom prst="wedgeRectCallout">
          <a:avLst>
            <a:gd name="adj1" fmla="val -81932"/>
            <a:gd name="adj2" fmla="val 47007"/>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200" b="1">
              <a:solidFill>
                <a:schemeClr val="tx1"/>
              </a:solidFill>
              <a:latin typeface="Yu Gothic UI Semilight" panose="020B0400000000000000" pitchFamily="50" charset="-128"/>
              <a:ea typeface="Yu Gothic UI Semilight" panose="020B0400000000000000" pitchFamily="50" charset="-128"/>
            </a:rPr>
            <a:t>⑤</a:t>
          </a:r>
        </a:p>
      </xdr:txBody>
    </xdr:sp>
    <xdr:clientData/>
  </xdr:twoCellAnchor>
  <xdr:twoCellAnchor editAs="oneCell">
    <xdr:from>
      <xdr:col>12</xdr:col>
      <xdr:colOff>367394</xdr:colOff>
      <xdr:row>56</xdr:row>
      <xdr:rowOff>163286</xdr:rowOff>
    </xdr:from>
    <xdr:to>
      <xdr:col>14</xdr:col>
      <xdr:colOff>68036</xdr:colOff>
      <xdr:row>57</xdr:row>
      <xdr:rowOff>489857</xdr:rowOff>
    </xdr:to>
    <xdr:pic>
      <xdr:nvPicPr>
        <xdr:cNvPr id="57" name="図 56">
          <a:extLst>
            <a:ext uri="{FF2B5EF4-FFF2-40B4-BE49-F238E27FC236}">
              <a16:creationId xmlns:a16="http://schemas.microsoft.com/office/drawing/2014/main" id="{8C91B250-E2E4-4682-8B90-81EF646408FB}"/>
            </a:ext>
          </a:extLst>
        </xdr:cNvPr>
        <xdr:cNvPicPr>
          <a:picLocks noChangeAspect="1"/>
        </xdr:cNvPicPr>
      </xdr:nvPicPr>
      <xdr:blipFill rotWithShape="1">
        <a:blip xmlns:r="http://schemas.openxmlformats.org/officeDocument/2006/relationships" r:embed="rId4"/>
        <a:srcRect l="58043" t="81360" r="35111" b="8983"/>
        <a:stretch/>
      </xdr:blipFill>
      <xdr:spPr>
        <a:xfrm>
          <a:off x="7620001" y="30235072"/>
          <a:ext cx="1061356" cy="857249"/>
        </a:xfrm>
        <a:prstGeom prst="rect">
          <a:avLst/>
        </a:prstGeom>
      </xdr:spPr>
    </xdr:pic>
    <xdr:clientData/>
  </xdr:twoCellAnchor>
  <xdr:twoCellAnchor>
    <xdr:from>
      <xdr:col>1</xdr:col>
      <xdr:colOff>593272</xdr:colOff>
      <xdr:row>56</xdr:row>
      <xdr:rowOff>176894</xdr:rowOff>
    </xdr:from>
    <xdr:to>
      <xdr:col>17</xdr:col>
      <xdr:colOff>163286</xdr:colOff>
      <xdr:row>56</xdr:row>
      <xdr:rowOff>421822</xdr:rowOff>
    </xdr:to>
    <xdr:sp macro="" textlink="">
      <xdr:nvSpPr>
        <xdr:cNvPr id="60" name="正方形/長方形 59">
          <a:extLst>
            <a:ext uri="{FF2B5EF4-FFF2-40B4-BE49-F238E27FC236}">
              <a16:creationId xmlns:a16="http://schemas.microsoft.com/office/drawing/2014/main" id="{1558463B-B5A4-4C1A-B6ED-CF77F4A29728}"/>
            </a:ext>
          </a:extLst>
        </xdr:cNvPr>
        <xdr:cNvSpPr/>
      </xdr:nvSpPr>
      <xdr:spPr>
        <a:xfrm>
          <a:off x="906236" y="30248680"/>
          <a:ext cx="9911443" cy="244928"/>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13</xdr:col>
      <xdr:colOff>503463</xdr:colOff>
      <xdr:row>55</xdr:row>
      <xdr:rowOff>108856</xdr:rowOff>
    </xdr:from>
    <xdr:to>
      <xdr:col>14</xdr:col>
      <xdr:colOff>326571</xdr:colOff>
      <xdr:row>56</xdr:row>
      <xdr:rowOff>68034</xdr:rowOff>
    </xdr:to>
    <xdr:sp macro="" textlink="">
      <xdr:nvSpPr>
        <xdr:cNvPr id="61" name="吹き出し: 四角形 60">
          <a:extLst>
            <a:ext uri="{FF2B5EF4-FFF2-40B4-BE49-F238E27FC236}">
              <a16:creationId xmlns:a16="http://schemas.microsoft.com/office/drawing/2014/main" id="{C33011B9-1DB5-43E9-B56A-328E89C2BE27}"/>
            </a:ext>
          </a:extLst>
        </xdr:cNvPr>
        <xdr:cNvSpPr/>
      </xdr:nvSpPr>
      <xdr:spPr>
        <a:xfrm>
          <a:off x="8436427" y="29649963"/>
          <a:ext cx="503465" cy="489857"/>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⑥</a:t>
          </a:r>
        </a:p>
      </xdr:txBody>
    </xdr:sp>
    <xdr:clientData/>
  </xdr:twoCellAnchor>
  <xdr:twoCellAnchor>
    <xdr:from>
      <xdr:col>16</xdr:col>
      <xdr:colOff>166007</xdr:colOff>
      <xdr:row>47</xdr:row>
      <xdr:rowOff>340178</xdr:rowOff>
    </xdr:from>
    <xdr:to>
      <xdr:col>19</xdr:col>
      <xdr:colOff>163286</xdr:colOff>
      <xdr:row>48</xdr:row>
      <xdr:rowOff>408215</xdr:rowOff>
    </xdr:to>
    <xdr:sp macro="" textlink="">
      <xdr:nvSpPr>
        <xdr:cNvPr id="62" name="正方形/長方形 61">
          <a:extLst>
            <a:ext uri="{FF2B5EF4-FFF2-40B4-BE49-F238E27FC236}">
              <a16:creationId xmlns:a16="http://schemas.microsoft.com/office/drawing/2014/main" id="{4FA221B6-F24A-4736-BEBC-614CD4846191}"/>
            </a:ext>
          </a:extLst>
        </xdr:cNvPr>
        <xdr:cNvSpPr/>
      </xdr:nvSpPr>
      <xdr:spPr>
        <a:xfrm>
          <a:off x="10140043" y="25635857"/>
          <a:ext cx="2038350" cy="598715"/>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19</xdr:col>
      <xdr:colOff>266699</xdr:colOff>
      <xdr:row>47</xdr:row>
      <xdr:rowOff>80282</xdr:rowOff>
    </xdr:from>
    <xdr:to>
      <xdr:col>20</xdr:col>
      <xdr:colOff>89808</xdr:colOff>
      <xdr:row>48</xdr:row>
      <xdr:rowOff>39460</xdr:rowOff>
    </xdr:to>
    <xdr:sp macro="" textlink="">
      <xdr:nvSpPr>
        <xdr:cNvPr id="63" name="吹き出し: 四角形 62">
          <a:extLst>
            <a:ext uri="{FF2B5EF4-FFF2-40B4-BE49-F238E27FC236}">
              <a16:creationId xmlns:a16="http://schemas.microsoft.com/office/drawing/2014/main" id="{CB3B848C-6212-4F77-BF51-38B9072D3537}"/>
            </a:ext>
          </a:extLst>
        </xdr:cNvPr>
        <xdr:cNvSpPr/>
      </xdr:nvSpPr>
      <xdr:spPr>
        <a:xfrm>
          <a:off x="12281806" y="25375961"/>
          <a:ext cx="503466" cy="489856"/>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⑧</a:t>
          </a:r>
        </a:p>
      </xdr:txBody>
    </xdr:sp>
    <xdr:clientData/>
  </xdr:twoCellAnchor>
  <xdr:twoCellAnchor editAs="oneCell">
    <xdr:from>
      <xdr:col>1</xdr:col>
      <xdr:colOff>800</xdr:colOff>
      <xdr:row>75</xdr:row>
      <xdr:rowOff>88526</xdr:rowOff>
    </xdr:from>
    <xdr:to>
      <xdr:col>23</xdr:col>
      <xdr:colOff>603756</xdr:colOff>
      <xdr:row>81</xdr:row>
      <xdr:rowOff>164916</xdr:rowOff>
    </xdr:to>
    <xdr:pic>
      <xdr:nvPicPr>
        <xdr:cNvPr id="74" name="図 73">
          <a:extLst>
            <a:ext uri="{FF2B5EF4-FFF2-40B4-BE49-F238E27FC236}">
              <a16:creationId xmlns:a16="http://schemas.microsoft.com/office/drawing/2014/main" id="{19104956-5E6D-4A17-800B-8551CC5BDA80}"/>
            </a:ext>
          </a:extLst>
        </xdr:cNvPr>
        <xdr:cNvPicPr>
          <a:picLocks noChangeAspect="1"/>
        </xdr:cNvPicPr>
      </xdr:nvPicPr>
      <xdr:blipFill rotWithShape="1">
        <a:blip xmlns:r="http://schemas.openxmlformats.org/officeDocument/2006/relationships" r:embed="rId5"/>
        <a:srcRect l="1375" t="54637" r="11761" b="12767"/>
        <a:stretch/>
      </xdr:blipFill>
      <xdr:spPr>
        <a:xfrm>
          <a:off x="313764" y="40025490"/>
          <a:ext cx="15026528" cy="3260462"/>
        </a:xfrm>
        <a:prstGeom prst="rect">
          <a:avLst/>
        </a:prstGeom>
        <a:ln w="12700">
          <a:solidFill>
            <a:schemeClr val="accent5"/>
          </a:solidFill>
          <a:prstDash val="solid"/>
        </a:ln>
      </xdr:spPr>
    </xdr:pic>
    <xdr:clientData/>
  </xdr:twoCellAnchor>
  <xdr:twoCellAnchor>
    <xdr:from>
      <xdr:col>1</xdr:col>
      <xdr:colOff>829235</xdr:colOff>
      <xdr:row>80</xdr:row>
      <xdr:rowOff>397008</xdr:rowOff>
    </xdr:from>
    <xdr:to>
      <xdr:col>21</xdr:col>
      <xdr:colOff>336176</xdr:colOff>
      <xdr:row>81</xdr:row>
      <xdr:rowOff>145676</xdr:rowOff>
    </xdr:to>
    <xdr:sp macro="" textlink="">
      <xdr:nvSpPr>
        <xdr:cNvPr id="76" name="正方形/長方形 75">
          <a:extLst>
            <a:ext uri="{FF2B5EF4-FFF2-40B4-BE49-F238E27FC236}">
              <a16:creationId xmlns:a16="http://schemas.microsoft.com/office/drawing/2014/main" id="{CEB0370C-37EF-42A8-BFE4-0A5BC658D304}"/>
            </a:ext>
          </a:extLst>
        </xdr:cNvPr>
        <xdr:cNvSpPr/>
      </xdr:nvSpPr>
      <xdr:spPr>
        <a:xfrm>
          <a:off x="1142199" y="42987365"/>
          <a:ext cx="12569798" cy="279347"/>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4</xdr:col>
      <xdr:colOff>668190</xdr:colOff>
      <xdr:row>79</xdr:row>
      <xdr:rowOff>379401</xdr:rowOff>
    </xdr:from>
    <xdr:to>
      <xdr:col>5</xdr:col>
      <xdr:colOff>491299</xdr:colOff>
      <xdr:row>80</xdr:row>
      <xdr:rowOff>338579</xdr:rowOff>
    </xdr:to>
    <xdr:sp macro="" textlink="">
      <xdr:nvSpPr>
        <xdr:cNvPr id="77" name="吹き出し: 四角形 76">
          <a:extLst>
            <a:ext uri="{FF2B5EF4-FFF2-40B4-BE49-F238E27FC236}">
              <a16:creationId xmlns:a16="http://schemas.microsoft.com/office/drawing/2014/main" id="{278736E7-CB5F-47D1-8BF9-126E22A0CDDD}"/>
            </a:ext>
          </a:extLst>
        </xdr:cNvPr>
        <xdr:cNvSpPr/>
      </xdr:nvSpPr>
      <xdr:spPr>
        <a:xfrm>
          <a:off x="2314654" y="42439080"/>
          <a:ext cx="503466" cy="489856"/>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⑭</a:t>
          </a:r>
        </a:p>
      </xdr:txBody>
    </xdr:sp>
    <xdr:clientData/>
  </xdr:twoCellAnchor>
  <xdr:twoCellAnchor>
    <xdr:from>
      <xdr:col>9</xdr:col>
      <xdr:colOff>419740</xdr:colOff>
      <xdr:row>80</xdr:row>
      <xdr:rowOff>410938</xdr:rowOff>
    </xdr:from>
    <xdr:to>
      <xdr:col>10</xdr:col>
      <xdr:colOff>77720</xdr:colOff>
      <xdr:row>81</xdr:row>
      <xdr:rowOff>149678</xdr:rowOff>
    </xdr:to>
    <xdr:sp macro="" textlink="">
      <xdr:nvSpPr>
        <xdr:cNvPr id="78" name="正方形/長方形 77">
          <a:extLst>
            <a:ext uri="{FF2B5EF4-FFF2-40B4-BE49-F238E27FC236}">
              <a16:creationId xmlns:a16="http://schemas.microsoft.com/office/drawing/2014/main" id="{76D0A966-B125-4F1A-B4DC-335250E9C65C}"/>
            </a:ext>
          </a:extLst>
        </xdr:cNvPr>
        <xdr:cNvSpPr/>
      </xdr:nvSpPr>
      <xdr:spPr>
        <a:xfrm>
          <a:off x="5631276" y="43001295"/>
          <a:ext cx="338337" cy="269419"/>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10</xdr:col>
      <xdr:colOff>102614</xdr:colOff>
      <xdr:row>79</xdr:row>
      <xdr:rowOff>363712</xdr:rowOff>
    </xdr:from>
    <xdr:to>
      <xdr:col>10</xdr:col>
      <xdr:colOff>602878</xdr:colOff>
      <xdr:row>80</xdr:row>
      <xdr:rowOff>322890</xdr:rowOff>
    </xdr:to>
    <xdr:sp macro="" textlink="">
      <xdr:nvSpPr>
        <xdr:cNvPr id="79" name="吹き出し: 四角形 78">
          <a:extLst>
            <a:ext uri="{FF2B5EF4-FFF2-40B4-BE49-F238E27FC236}">
              <a16:creationId xmlns:a16="http://schemas.microsoft.com/office/drawing/2014/main" id="{6A7C17FD-069F-4DAA-9B93-B7E93D575C66}"/>
            </a:ext>
          </a:extLst>
        </xdr:cNvPr>
        <xdr:cNvSpPr/>
      </xdr:nvSpPr>
      <xdr:spPr>
        <a:xfrm>
          <a:off x="5994507" y="42423391"/>
          <a:ext cx="500264" cy="489856"/>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⑮</a:t>
          </a:r>
        </a:p>
      </xdr:txBody>
    </xdr:sp>
    <xdr:clientData/>
  </xdr:twoCellAnchor>
  <xdr:twoCellAnchor>
    <xdr:from>
      <xdr:col>1</xdr:col>
      <xdr:colOff>761999</xdr:colOff>
      <xdr:row>84</xdr:row>
      <xdr:rowOff>394607</xdr:rowOff>
    </xdr:from>
    <xdr:to>
      <xdr:col>4</xdr:col>
      <xdr:colOff>54428</xdr:colOff>
      <xdr:row>85</xdr:row>
      <xdr:rowOff>40822</xdr:rowOff>
    </xdr:to>
    <xdr:sp macro="" textlink="">
      <xdr:nvSpPr>
        <xdr:cNvPr id="83" name="正方形/長方形 82">
          <a:extLst>
            <a:ext uri="{FF2B5EF4-FFF2-40B4-BE49-F238E27FC236}">
              <a16:creationId xmlns:a16="http://schemas.microsoft.com/office/drawing/2014/main" id="{0A1FC2B0-EB7B-4E74-BAA2-5CC770481716}"/>
            </a:ext>
          </a:extLst>
        </xdr:cNvPr>
        <xdr:cNvSpPr/>
      </xdr:nvSpPr>
      <xdr:spPr>
        <a:xfrm>
          <a:off x="1074963" y="45026036"/>
          <a:ext cx="625929" cy="176893"/>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4</xdr:col>
      <xdr:colOff>209548</xdr:colOff>
      <xdr:row>92</xdr:row>
      <xdr:rowOff>258536</xdr:rowOff>
    </xdr:from>
    <xdr:to>
      <xdr:col>7</xdr:col>
      <xdr:colOff>449036</xdr:colOff>
      <xdr:row>92</xdr:row>
      <xdr:rowOff>421822</xdr:rowOff>
    </xdr:to>
    <xdr:sp macro="" textlink="">
      <xdr:nvSpPr>
        <xdr:cNvPr id="85" name="正方形/長方形 84">
          <a:extLst>
            <a:ext uri="{FF2B5EF4-FFF2-40B4-BE49-F238E27FC236}">
              <a16:creationId xmlns:a16="http://schemas.microsoft.com/office/drawing/2014/main" id="{379034B7-31CE-4CA5-BA11-4D8531BD1159}"/>
            </a:ext>
          </a:extLst>
        </xdr:cNvPr>
        <xdr:cNvSpPr/>
      </xdr:nvSpPr>
      <xdr:spPr>
        <a:xfrm>
          <a:off x="1856012" y="49135393"/>
          <a:ext cx="2443845" cy="163286"/>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4</xdr:col>
      <xdr:colOff>81482</xdr:colOff>
      <xdr:row>83</xdr:row>
      <xdr:rowOff>290554</xdr:rowOff>
    </xdr:from>
    <xdr:to>
      <xdr:col>4</xdr:col>
      <xdr:colOff>584948</xdr:colOff>
      <xdr:row>84</xdr:row>
      <xdr:rowOff>249732</xdr:rowOff>
    </xdr:to>
    <xdr:sp macro="" textlink="">
      <xdr:nvSpPr>
        <xdr:cNvPr id="86" name="吹き出し: 四角形 85">
          <a:extLst>
            <a:ext uri="{FF2B5EF4-FFF2-40B4-BE49-F238E27FC236}">
              <a16:creationId xmlns:a16="http://schemas.microsoft.com/office/drawing/2014/main" id="{6F933A63-BB9B-45C9-8142-C917F81C7915}"/>
            </a:ext>
          </a:extLst>
        </xdr:cNvPr>
        <xdr:cNvSpPr/>
      </xdr:nvSpPr>
      <xdr:spPr>
        <a:xfrm>
          <a:off x="1727946" y="44391304"/>
          <a:ext cx="503466" cy="489857"/>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⑯</a:t>
          </a:r>
          <a:endParaRPr kumimoji="1" lang="en-US" altLang="ja-JP" sz="2200" b="1">
            <a:solidFill>
              <a:schemeClr val="tx1"/>
            </a:solidFill>
            <a:latin typeface="Yu Gothic UI Semilight" panose="020B0400000000000000" pitchFamily="50" charset="-128"/>
            <a:ea typeface="Yu Gothic UI Semilight" panose="020B0400000000000000" pitchFamily="50" charset="-128"/>
          </a:endParaRPr>
        </a:p>
      </xdr:txBody>
    </xdr:sp>
    <xdr:clientData/>
  </xdr:twoCellAnchor>
  <xdr:twoCellAnchor>
    <xdr:from>
      <xdr:col>16</xdr:col>
      <xdr:colOff>272144</xdr:colOff>
      <xdr:row>119</xdr:row>
      <xdr:rowOff>382359</xdr:rowOff>
    </xdr:from>
    <xdr:to>
      <xdr:col>19</xdr:col>
      <xdr:colOff>95250</xdr:colOff>
      <xdr:row>120</xdr:row>
      <xdr:rowOff>385081</xdr:rowOff>
    </xdr:to>
    <xdr:sp macro="" textlink="">
      <xdr:nvSpPr>
        <xdr:cNvPr id="70" name="正方形/長方形 69">
          <a:extLst>
            <a:ext uri="{FF2B5EF4-FFF2-40B4-BE49-F238E27FC236}">
              <a16:creationId xmlns:a16="http://schemas.microsoft.com/office/drawing/2014/main" id="{22847ACF-726F-4021-A1D1-1EA2CCC1995A}"/>
            </a:ext>
          </a:extLst>
        </xdr:cNvPr>
        <xdr:cNvSpPr/>
      </xdr:nvSpPr>
      <xdr:spPr>
        <a:xfrm>
          <a:off x="10246180" y="62975216"/>
          <a:ext cx="1864177" cy="533401"/>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19</xdr:col>
      <xdr:colOff>236763</xdr:colOff>
      <xdr:row>119</xdr:row>
      <xdr:rowOff>174170</xdr:rowOff>
    </xdr:from>
    <xdr:to>
      <xdr:col>20</xdr:col>
      <xdr:colOff>59872</xdr:colOff>
      <xdr:row>120</xdr:row>
      <xdr:rowOff>108855</xdr:rowOff>
    </xdr:to>
    <xdr:sp macro="" textlink="">
      <xdr:nvSpPr>
        <xdr:cNvPr id="88" name="吹き出し: 四角形 87">
          <a:extLst>
            <a:ext uri="{FF2B5EF4-FFF2-40B4-BE49-F238E27FC236}">
              <a16:creationId xmlns:a16="http://schemas.microsoft.com/office/drawing/2014/main" id="{A112BDC3-DCA1-42EA-A61F-1703E121725E}"/>
            </a:ext>
          </a:extLst>
        </xdr:cNvPr>
        <xdr:cNvSpPr/>
      </xdr:nvSpPr>
      <xdr:spPr>
        <a:xfrm>
          <a:off x="12251870" y="62767027"/>
          <a:ext cx="503466" cy="465364"/>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㉑</a:t>
          </a:r>
        </a:p>
      </xdr:txBody>
    </xdr:sp>
    <xdr:clientData/>
  </xdr:twoCellAnchor>
  <xdr:twoCellAnchor>
    <xdr:from>
      <xdr:col>1</xdr:col>
      <xdr:colOff>571500</xdr:colOff>
      <xdr:row>128</xdr:row>
      <xdr:rowOff>403411</xdr:rowOff>
    </xdr:from>
    <xdr:to>
      <xdr:col>17</xdr:col>
      <xdr:colOff>95250</xdr:colOff>
      <xdr:row>129</xdr:row>
      <xdr:rowOff>163286</xdr:rowOff>
    </xdr:to>
    <xdr:sp macro="" textlink="">
      <xdr:nvSpPr>
        <xdr:cNvPr id="89" name="正方形/長方形 88">
          <a:extLst>
            <a:ext uri="{FF2B5EF4-FFF2-40B4-BE49-F238E27FC236}">
              <a16:creationId xmlns:a16="http://schemas.microsoft.com/office/drawing/2014/main" id="{CC5E2F5A-9E36-4FA9-A3C5-4C509B1FDCA6}"/>
            </a:ext>
          </a:extLst>
        </xdr:cNvPr>
        <xdr:cNvSpPr/>
      </xdr:nvSpPr>
      <xdr:spPr>
        <a:xfrm>
          <a:off x="884464" y="67772375"/>
          <a:ext cx="9865179" cy="290554"/>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17</xdr:col>
      <xdr:colOff>83884</xdr:colOff>
      <xdr:row>128</xdr:row>
      <xdr:rowOff>1</xdr:rowOff>
    </xdr:from>
    <xdr:to>
      <xdr:col>17</xdr:col>
      <xdr:colOff>587350</xdr:colOff>
      <xdr:row>128</xdr:row>
      <xdr:rowOff>338180</xdr:rowOff>
    </xdr:to>
    <xdr:sp macro="" textlink="">
      <xdr:nvSpPr>
        <xdr:cNvPr id="90" name="吹き出し: 四角形 89">
          <a:extLst>
            <a:ext uri="{FF2B5EF4-FFF2-40B4-BE49-F238E27FC236}">
              <a16:creationId xmlns:a16="http://schemas.microsoft.com/office/drawing/2014/main" id="{58D1E3E6-475B-4137-97E3-9AD30420009E}"/>
            </a:ext>
          </a:extLst>
        </xdr:cNvPr>
        <xdr:cNvSpPr/>
      </xdr:nvSpPr>
      <xdr:spPr>
        <a:xfrm>
          <a:off x="10738277" y="67368965"/>
          <a:ext cx="503466" cy="338179"/>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⑳</a:t>
          </a:r>
        </a:p>
      </xdr:txBody>
    </xdr:sp>
    <xdr:clientData/>
  </xdr:twoCellAnchor>
  <xdr:twoCellAnchor>
    <xdr:from>
      <xdr:col>3</xdr:col>
      <xdr:colOff>152400</xdr:colOff>
      <xdr:row>21</xdr:row>
      <xdr:rowOff>410938</xdr:rowOff>
    </xdr:from>
    <xdr:to>
      <xdr:col>5</xdr:col>
      <xdr:colOff>312965</xdr:colOff>
      <xdr:row>22</xdr:row>
      <xdr:rowOff>149679</xdr:rowOff>
    </xdr:to>
    <xdr:sp macro="" textlink="">
      <xdr:nvSpPr>
        <xdr:cNvPr id="50" name="正方形/長方形 49">
          <a:extLst>
            <a:ext uri="{FF2B5EF4-FFF2-40B4-BE49-F238E27FC236}">
              <a16:creationId xmlns:a16="http://schemas.microsoft.com/office/drawing/2014/main" id="{B9CFD1CA-A4A6-493E-8C4D-09EA8160199A}"/>
            </a:ext>
          </a:extLst>
        </xdr:cNvPr>
        <xdr:cNvSpPr/>
      </xdr:nvSpPr>
      <xdr:spPr>
        <a:xfrm>
          <a:off x="1594757" y="12235545"/>
          <a:ext cx="1045029" cy="269420"/>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en-US" altLang="ja-JP" sz="2000" b="1">
            <a:solidFill>
              <a:schemeClr val="tx1"/>
            </a:solidFill>
            <a:latin typeface="Yu Gothic UI Semilight" panose="020B0400000000000000" pitchFamily="50" charset="-128"/>
            <a:ea typeface="Yu Gothic UI Semilight" panose="020B0400000000000000" pitchFamily="50" charset="-128"/>
          </a:endParaRPr>
        </a:p>
        <a:p>
          <a:pPr algn="l"/>
          <a:endParaRPr kumimoji="1" lang="en-US" altLang="ja-JP" sz="1100"/>
        </a:p>
        <a:p>
          <a:pPr algn="l"/>
          <a:endParaRPr kumimoji="1" lang="ja-JP" altLang="en-US" sz="1100"/>
        </a:p>
      </xdr:txBody>
    </xdr:sp>
    <xdr:clientData/>
  </xdr:twoCellAnchor>
  <xdr:twoCellAnchor>
    <xdr:from>
      <xdr:col>4</xdr:col>
      <xdr:colOff>389163</xdr:colOff>
      <xdr:row>22</xdr:row>
      <xdr:rowOff>239485</xdr:rowOff>
    </xdr:from>
    <xdr:to>
      <xdr:col>5</xdr:col>
      <xdr:colOff>171449</xdr:colOff>
      <xdr:row>23</xdr:row>
      <xdr:rowOff>166006</xdr:rowOff>
    </xdr:to>
    <xdr:sp macro="" textlink="">
      <xdr:nvSpPr>
        <xdr:cNvPr id="52" name="吹き出し: 四角形 51">
          <a:extLst>
            <a:ext uri="{FF2B5EF4-FFF2-40B4-BE49-F238E27FC236}">
              <a16:creationId xmlns:a16="http://schemas.microsoft.com/office/drawing/2014/main" id="{3DE9DAA0-3E4E-4C89-952B-711B1326496A}"/>
            </a:ext>
          </a:extLst>
        </xdr:cNvPr>
        <xdr:cNvSpPr/>
      </xdr:nvSpPr>
      <xdr:spPr>
        <a:xfrm>
          <a:off x="2035627" y="12594771"/>
          <a:ext cx="462643" cy="457199"/>
        </a:xfrm>
        <a:prstGeom prst="wedgeRectCallout">
          <a:avLst>
            <a:gd name="adj1" fmla="val -84873"/>
            <a:gd name="adj2" fmla="val -63112"/>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200" b="1">
              <a:solidFill>
                <a:schemeClr val="tx1"/>
              </a:solidFill>
              <a:latin typeface="Yu Gothic UI Semilight" panose="020B0400000000000000" pitchFamily="50" charset="-128"/>
              <a:ea typeface="Yu Gothic UI Semilight" panose="020B0400000000000000" pitchFamily="50" charset="-128"/>
            </a:rPr>
            <a:t>④</a:t>
          </a:r>
        </a:p>
      </xdr:txBody>
    </xdr:sp>
    <xdr:clientData/>
  </xdr:twoCellAnchor>
  <xdr:twoCellAnchor>
    <xdr:from>
      <xdr:col>1</xdr:col>
      <xdr:colOff>574220</xdr:colOff>
      <xdr:row>27</xdr:row>
      <xdr:rowOff>57152</xdr:rowOff>
    </xdr:from>
    <xdr:to>
      <xdr:col>1</xdr:col>
      <xdr:colOff>911679</xdr:colOff>
      <xdr:row>27</xdr:row>
      <xdr:rowOff>353785</xdr:rowOff>
    </xdr:to>
    <xdr:sp macro="" textlink="">
      <xdr:nvSpPr>
        <xdr:cNvPr id="55" name="正方形/長方形 54">
          <a:extLst>
            <a:ext uri="{FF2B5EF4-FFF2-40B4-BE49-F238E27FC236}">
              <a16:creationId xmlns:a16="http://schemas.microsoft.com/office/drawing/2014/main" id="{78E29510-81D7-4587-8D74-C31F691C450D}"/>
            </a:ext>
          </a:extLst>
        </xdr:cNvPr>
        <xdr:cNvSpPr/>
      </xdr:nvSpPr>
      <xdr:spPr>
        <a:xfrm>
          <a:off x="887184" y="14739259"/>
          <a:ext cx="337459" cy="296633"/>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en-US" altLang="ja-JP" sz="2000" b="1">
            <a:solidFill>
              <a:schemeClr val="tx1"/>
            </a:solidFill>
            <a:latin typeface="Yu Gothic UI Semilight" panose="020B0400000000000000" pitchFamily="50" charset="-128"/>
            <a:ea typeface="Yu Gothic UI Semilight" panose="020B0400000000000000" pitchFamily="50" charset="-128"/>
          </a:endParaRPr>
        </a:p>
        <a:p>
          <a:pPr algn="l"/>
          <a:endParaRPr kumimoji="1" lang="en-US" altLang="ja-JP" sz="1100"/>
        </a:p>
        <a:p>
          <a:pPr algn="l"/>
          <a:endParaRPr kumimoji="1" lang="ja-JP" altLang="en-US" sz="1100"/>
        </a:p>
      </xdr:txBody>
    </xdr:sp>
    <xdr:clientData/>
  </xdr:twoCellAnchor>
  <xdr:twoCellAnchor>
    <xdr:from>
      <xdr:col>2</xdr:col>
      <xdr:colOff>27214</xdr:colOff>
      <xdr:row>21</xdr:row>
      <xdr:rowOff>408214</xdr:rowOff>
    </xdr:from>
    <xdr:to>
      <xdr:col>5</xdr:col>
      <xdr:colOff>775608</xdr:colOff>
      <xdr:row>27</xdr:row>
      <xdr:rowOff>81643</xdr:rowOff>
    </xdr:to>
    <xdr:cxnSp macro="">
      <xdr:nvCxnSpPr>
        <xdr:cNvPr id="10" name="直線矢印コネクタ 9">
          <a:extLst>
            <a:ext uri="{FF2B5EF4-FFF2-40B4-BE49-F238E27FC236}">
              <a16:creationId xmlns:a16="http://schemas.microsoft.com/office/drawing/2014/main" id="{A581B581-4AA9-41FC-805E-66B7AA789893}"/>
            </a:ext>
          </a:extLst>
        </xdr:cNvPr>
        <xdr:cNvCxnSpPr/>
      </xdr:nvCxnSpPr>
      <xdr:spPr>
        <a:xfrm flipH="1">
          <a:off x="1265464" y="11906250"/>
          <a:ext cx="1836965" cy="28575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506187</xdr:colOff>
      <xdr:row>21</xdr:row>
      <xdr:rowOff>410936</xdr:rowOff>
    </xdr:from>
    <xdr:to>
      <xdr:col>16</xdr:col>
      <xdr:colOff>54428</xdr:colOff>
      <xdr:row>27</xdr:row>
      <xdr:rowOff>95250</xdr:rowOff>
    </xdr:to>
    <xdr:cxnSp macro="">
      <xdr:nvCxnSpPr>
        <xdr:cNvPr id="58" name="直線矢印コネクタ 57">
          <a:extLst>
            <a:ext uri="{FF2B5EF4-FFF2-40B4-BE49-F238E27FC236}">
              <a16:creationId xmlns:a16="http://schemas.microsoft.com/office/drawing/2014/main" id="{F2519D0B-6FD7-4EA9-AD25-129ED177814B}"/>
            </a:ext>
          </a:extLst>
        </xdr:cNvPr>
        <xdr:cNvCxnSpPr/>
      </xdr:nvCxnSpPr>
      <xdr:spPr>
        <a:xfrm>
          <a:off x="7078437" y="11908972"/>
          <a:ext cx="2950027" cy="286838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73477</xdr:colOff>
      <xdr:row>27</xdr:row>
      <xdr:rowOff>40823</xdr:rowOff>
    </xdr:from>
    <xdr:to>
      <xdr:col>17</xdr:col>
      <xdr:colOff>54428</xdr:colOff>
      <xdr:row>27</xdr:row>
      <xdr:rowOff>326573</xdr:rowOff>
    </xdr:to>
    <xdr:sp macro="" textlink="">
      <xdr:nvSpPr>
        <xdr:cNvPr id="59" name="正方形/長方形 58">
          <a:extLst>
            <a:ext uri="{FF2B5EF4-FFF2-40B4-BE49-F238E27FC236}">
              <a16:creationId xmlns:a16="http://schemas.microsoft.com/office/drawing/2014/main" id="{A029F6F4-C8A8-4526-947D-AD6ACB7CDFBD}"/>
            </a:ext>
          </a:extLst>
        </xdr:cNvPr>
        <xdr:cNvSpPr/>
      </xdr:nvSpPr>
      <xdr:spPr>
        <a:xfrm>
          <a:off x="10047513" y="14722930"/>
          <a:ext cx="661308" cy="285750"/>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kumimoji="1" lang="en-US" altLang="ja-JP" sz="2000" b="1">
            <a:solidFill>
              <a:schemeClr val="tx1"/>
            </a:solidFill>
            <a:latin typeface="Yu Gothic UI Semilight" panose="020B0400000000000000" pitchFamily="50" charset="-128"/>
            <a:ea typeface="Yu Gothic UI Semilight" panose="020B0400000000000000" pitchFamily="50" charset="-128"/>
          </a:endParaRPr>
        </a:p>
        <a:p>
          <a:pPr algn="l"/>
          <a:endParaRPr kumimoji="1" lang="en-US" altLang="ja-JP" sz="1100"/>
        </a:p>
        <a:p>
          <a:pPr algn="l"/>
          <a:endParaRPr kumimoji="1" lang="ja-JP" altLang="en-US" sz="1100"/>
        </a:p>
      </xdr:txBody>
    </xdr:sp>
    <xdr:clientData/>
  </xdr:twoCellAnchor>
  <xdr:twoCellAnchor>
    <xdr:from>
      <xdr:col>0</xdr:col>
      <xdr:colOff>185055</xdr:colOff>
      <xdr:row>86</xdr:row>
      <xdr:rowOff>438150</xdr:rowOff>
    </xdr:from>
    <xdr:to>
      <xdr:col>7</xdr:col>
      <xdr:colOff>503465</xdr:colOff>
      <xdr:row>92</xdr:row>
      <xdr:rowOff>54429</xdr:rowOff>
    </xdr:to>
    <xdr:sp macro="" textlink="">
      <xdr:nvSpPr>
        <xdr:cNvPr id="80" name="正方形/長方形 79">
          <a:extLst>
            <a:ext uri="{FF2B5EF4-FFF2-40B4-BE49-F238E27FC236}">
              <a16:creationId xmlns:a16="http://schemas.microsoft.com/office/drawing/2014/main" id="{51D9E303-3735-477C-80B2-9C92939125E0}"/>
            </a:ext>
          </a:extLst>
        </xdr:cNvPr>
        <xdr:cNvSpPr/>
      </xdr:nvSpPr>
      <xdr:spPr>
        <a:xfrm>
          <a:off x="185055" y="46130936"/>
          <a:ext cx="4169231" cy="2800350"/>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7</xdr:col>
      <xdr:colOff>222997</xdr:colOff>
      <xdr:row>91</xdr:row>
      <xdr:rowOff>214354</xdr:rowOff>
    </xdr:from>
    <xdr:to>
      <xdr:col>8</xdr:col>
      <xdr:colOff>46105</xdr:colOff>
      <xdr:row>92</xdr:row>
      <xdr:rowOff>173533</xdr:rowOff>
    </xdr:to>
    <xdr:sp macro="" textlink="">
      <xdr:nvSpPr>
        <xdr:cNvPr id="81" name="吹き出し: 四角形 80">
          <a:extLst>
            <a:ext uri="{FF2B5EF4-FFF2-40B4-BE49-F238E27FC236}">
              <a16:creationId xmlns:a16="http://schemas.microsoft.com/office/drawing/2014/main" id="{E711B009-F5AA-498B-94D8-6144597B8184}"/>
            </a:ext>
          </a:extLst>
        </xdr:cNvPr>
        <xdr:cNvSpPr/>
      </xdr:nvSpPr>
      <xdr:spPr>
        <a:xfrm>
          <a:off x="4073818" y="48560533"/>
          <a:ext cx="503466" cy="489857"/>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⑱</a:t>
          </a:r>
        </a:p>
      </xdr:txBody>
    </xdr:sp>
    <xdr:clientData/>
  </xdr:twoCellAnchor>
  <xdr:twoCellAnchor>
    <xdr:from>
      <xdr:col>1</xdr:col>
      <xdr:colOff>898070</xdr:colOff>
      <xdr:row>97</xdr:row>
      <xdr:rowOff>122464</xdr:rowOff>
    </xdr:from>
    <xdr:to>
      <xdr:col>3</xdr:col>
      <xdr:colOff>122464</xdr:colOff>
      <xdr:row>97</xdr:row>
      <xdr:rowOff>381000</xdr:rowOff>
    </xdr:to>
    <xdr:sp macro="" textlink="">
      <xdr:nvSpPr>
        <xdr:cNvPr id="92" name="正方形/長方形 91">
          <a:extLst>
            <a:ext uri="{FF2B5EF4-FFF2-40B4-BE49-F238E27FC236}">
              <a16:creationId xmlns:a16="http://schemas.microsoft.com/office/drawing/2014/main" id="{94CDEFD6-06D2-4C38-8075-46A7940DD10C}"/>
            </a:ext>
          </a:extLst>
        </xdr:cNvPr>
        <xdr:cNvSpPr/>
      </xdr:nvSpPr>
      <xdr:spPr>
        <a:xfrm>
          <a:off x="1211034" y="51652714"/>
          <a:ext cx="353787" cy="258536"/>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5</xdr:col>
      <xdr:colOff>195940</xdr:colOff>
      <xdr:row>106</xdr:row>
      <xdr:rowOff>40822</xdr:rowOff>
    </xdr:from>
    <xdr:to>
      <xdr:col>9</xdr:col>
      <xdr:colOff>571499</xdr:colOff>
      <xdr:row>106</xdr:row>
      <xdr:rowOff>326571</xdr:rowOff>
    </xdr:to>
    <xdr:sp macro="" textlink="">
      <xdr:nvSpPr>
        <xdr:cNvPr id="94" name="正方形/長方形 93">
          <a:extLst>
            <a:ext uri="{FF2B5EF4-FFF2-40B4-BE49-F238E27FC236}">
              <a16:creationId xmlns:a16="http://schemas.microsoft.com/office/drawing/2014/main" id="{68FBC7C3-892C-4EA4-A700-A4D061129280}"/>
            </a:ext>
          </a:extLst>
        </xdr:cNvPr>
        <xdr:cNvSpPr/>
      </xdr:nvSpPr>
      <xdr:spPr>
        <a:xfrm>
          <a:off x="2522761" y="56347179"/>
          <a:ext cx="3260274" cy="285749"/>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3</xdr:col>
      <xdr:colOff>122303</xdr:colOff>
      <xdr:row>96</xdr:row>
      <xdr:rowOff>113661</xdr:rowOff>
    </xdr:from>
    <xdr:to>
      <xdr:col>4</xdr:col>
      <xdr:colOff>421662</xdr:colOff>
      <xdr:row>97</xdr:row>
      <xdr:rowOff>72839</xdr:rowOff>
    </xdr:to>
    <xdr:sp macro="" textlink="">
      <xdr:nvSpPr>
        <xdr:cNvPr id="95" name="吹き出し: 四角形 94">
          <a:extLst>
            <a:ext uri="{FF2B5EF4-FFF2-40B4-BE49-F238E27FC236}">
              <a16:creationId xmlns:a16="http://schemas.microsoft.com/office/drawing/2014/main" id="{94F5E795-7382-4EA1-B602-F0B9F7533217}"/>
            </a:ext>
          </a:extLst>
        </xdr:cNvPr>
        <xdr:cNvSpPr/>
      </xdr:nvSpPr>
      <xdr:spPr>
        <a:xfrm>
          <a:off x="1564660" y="51113232"/>
          <a:ext cx="503466" cy="489857"/>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⑯</a:t>
          </a:r>
          <a:endParaRPr kumimoji="1" lang="en-US" altLang="ja-JP" sz="2200" b="1">
            <a:solidFill>
              <a:schemeClr val="tx1"/>
            </a:solidFill>
            <a:latin typeface="Yu Gothic UI Semilight" panose="020B0400000000000000" pitchFamily="50" charset="-128"/>
            <a:ea typeface="Yu Gothic UI Semilight" panose="020B0400000000000000" pitchFamily="50" charset="-128"/>
          </a:endParaRPr>
        </a:p>
      </xdr:txBody>
    </xdr:sp>
    <xdr:clientData/>
  </xdr:twoCellAnchor>
  <xdr:twoCellAnchor>
    <xdr:from>
      <xdr:col>0</xdr:col>
      <xdr:colOff>95251</xdr:colOff>
      <xdr:row>99</xdr:row>
      <xdr:rowOff>81642</xdr:rowOff>
    </xdr:from>
    <xdr:to>
      <xdr:col>9</xdr:col>
      <xdr:colOff>598715</xdr:colOff>
      <xdr:row>105</xdr:row>
      <xdr:rowOff>394605</xdr:rowOff>
    </xdr:to>
    <xdr:sp macro="" textlink="">
      <xdr:nvSpPr>
        <xdr:cNvPr id="97" name="正方形/長方形 96">
          <a:extLst>
            <a:ext uri="{FF2B5EF4-FFF2-40B4-BE49-F238E27FC236}">
              <a16:creationId xmlns:a16="http://schemas.microsoft.com/office/drawing/2014/main" id="{433E5CBF-4738-472E-8DE5-26A61FFB69D6}"/>
            </a:ext>
          </a:extLst>
        </xdr:cNvPr>
        <xdr:cNvSpPr/>
      </xdr:nvSpPr>
      <xdr:spPr>
        <a:xfrm>
          <a:off x="95251" y="52673249"/>
          <a:ext cx="5715000" cy="3497035"/>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8</xdr:col>
      <xdr:colOff>263817</xdr:colOff>
      <xdr:row>105</xdr:row>
      <xdr:rowOff>51067</xdr:rowOff>
    </xdr:from>
    <xdr:to>
      <xdr:col>9</xdr:col>
      <xdr:colOff>86926</xdr:colOff>
      <xdr:row>106</xdr:row>
      <xdr:rowOff>10247</xdr:rowOff>
    </xdr:to>
    <xdr:sp macro="" textlink="">
      <xdr:nvSpPr>
        <xdr:cNvPr id="98" name="吹き出し: 四角形 97">
          <a:extLst>
            <a:ext uri="{FF2B5EF4-FFF2-40B4-BE49-F238E27FC236}">
              <a16:creationId xmlns:a16="http://schemas.microsoft.com/office/drawing/2014/main" id="{575167AB-3B35-4E6C-9D93-E407B197DD7D}"/>
            </a:ext>
          </a:extLst>
        </xdr:cNvPr>
        <xdr:cNvSpPr/>
      </xdr:nvSpPr>
      <xdr:spPr>
        <a:xfrm>
          <a:off x="4794996" y="55826746"/>
          <a:ext cx="503466" cy="489858"/>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⑱</a:t>
          </a:r>
        </a:p>
      </xdr:txBody>
    </xdr:sp>
    <xdr:clientData/>
  </xdr:twoCellAnchor>
  <xdr:twoCellAnchor>
    <xdr:from>
      <xdr:col>0</xdr:col>
      <xdr:colOff>185055</xdr:colOff>
      <xdr:row>93</xdr:row>
      <xdr:rowOff>125186</xdr:rowOff>
    </xdr:from>
    <xdr:to>
      <xdr:col>7</xdr:col>
      <xdr:colOff>503465</xdr:colOff>
      <xdr:row>94</xdr:row>
      <xdr:rowOff>231322</xdr:rowOff>
    </xdr:to>
    <xdr:sp macro="" textlink="">
      <xdr:nvSpPr>
        <xdr:cNvPr id="99" name="正方形/長方形 98">
          <a:extLst>
            <a:ext uri="{FF2B5EF4-FFF2-40B4-BE49-F238E27FC236}">
              <a16:creationId xmlns:a16="http://schemas.microsoft.com/office/drawing/2014/main" id="{5B76D2E7-053A-463D-B4CC-78236EB5EAE5}"/>
            </a:ext>
          </a:extLst>
        </xdr:cNvPr>
        <xdr:cNvSpPr/>
      </xdr:nvSpPr>
      <xdr:spPr>
        <a:xfrm>
          <a:off x="185055" y="49532722"/>
          <a:ext cx="4169231" cy="636814"/>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7</xdr:col>
      <xdr:colOff>437989</xdr:colOff>
      <xdr:row>86</xdr:row>
      <xdr:rowOff>89169</xdr:rowOff>
    </xdr:from>
    <xdr:to>
      <xdr:col>8</xdr:col>
      <xdr:colOff>261097</xdr:colOff>
      <xdr:row>87</xdr:row>
      <xdr:rowOff>48348</xdr:rowOff>
    </xdr:to>
    <xdr:sp macro="" textlink="">
      <xdr:nvSpPr>
        <xdr:cNvPr id="87" name="吹き出し: 四角形 86">
          <a:extLst>
            <a:ext uri="{FF2B5EF4-FFF2-40B4-BE49-F238E27FC236}">
              <a16:creationId xmlns:a16="http://schemas.microsoft.com/office/drawing/2014/main" id="{C8E1EC62-30B0-4248-8606-3F3A3C9EA1A5}"/>
            </a:ext>
          </a:extLst>
        </xdr:cNvPr>
        <xdr:cNvSpPr/>
      </xdr:nvSpPr>
      <xdr:spPr>
        <a:xfrm>
          <a:off x="4288810" y="45781955"/>
          <a:ext cx="503466" cy="489857"/>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⑰</a:t>
          </a:r>
        </a:p>
      </xdr:txBody>
    </xdr:sp>
    <xdr:clientData/>
  </xdr:twoCellAnchor>
  <xdr:twoCellAnchor>
    <xdr:from>
      <xdr:col>7</xdr:col>
      <xdr:colOff>239325</xdr:colOff>
      <xdr:row>92</xdr:row>
      <xdr:rowOff>380362</xdr:rowOff>
    </xdr:from>
    <xdr:to>
      <xdr:col>8</xdr:col>
      <xdr:colOff>62433</xdr:colOff>
      <xdr:row>93</xdr:row>
      <xdr:rowOff>339540</xdr:rowOff>
    </xdr:to>
    <xdr:sp macro="" textlink="">
      <xdr:nvSpPr>
        <xdr:cNvPr id="100" name="吹き出し: 四角形 99">
          <a:extLst>
            <a:ext uri="{FF2B5EF4-FFF2-40B4-BE49-F238E27FC236}">
              <a16:creationId xmlns:a16="http://schemas.microsoft.com/office/drawing/2014/main" id="{29225D4C-1378-4310-B342-E1B7247C56B5}"/>
            </a:ext>
          </a:extLst>
        </xdr:cNvPr>
        <xdr:cNvSpPr/>
      </xdr:nvSpPr>
      <xdr:spPr>
        <a:xfrm>
          <a:off x="4090146" y="49257219"/>
          <a:ext cx="503466" cy="489857"/>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⑲</a:t>
          </a:r>
          <a:endParaRPr kumimoji="1" lang="en-US" altLang="ja-JP" sz="2200" b="1">
            <a:solidFill>
              <a:schemeClr val="tx1"/>
            </a:solidFill>
            <a:latin typeface="Yu Gothic UI Semilight" panose="020B0400000000000000" pitchFamily="50" charset="-128"/>
            <a:ea typeface="Yu Gothic UI Semilight" panose="020B0400000000000000" pitchFamily="50" charset="-128"/>
          </a:endParaRPr>
        </a:p>
      </xdr:txBody>
    </xdr:sp>
    <xdr:clientData/>
  </xdr:twoCellAnchor>
  <xdr:twoCellAnchor>
    <xdr:from>
      <xdr:col>0</xdr:col>
      <xdr:colOff>133348</xdr:colOff>
      <xdr:row>107</xdr:row>
      <xdr:rowOff>54428</xdr:rowOff>
    </xdr:from>
    <xdr:to>
      <xdr:col>9</xdr:col>
      <xdr:colOff>598714</xdr:colOff>
      <xdr:row>109</xdr:row>
      <xdr:rowOff>149678</xdr:rowOff>
    </xdr:to>
    <xdr:sp macro="" textlink="">
      <xdr:nvSpPr>
        <xdr:cNvPr id="101" name="正方形/長方形 100">
          <a:extLst>
            <a:ext uri="{FF2B5EF4-FFF2-40B4-BE49-F238E27FC236}">
              <a16:creationId xmlns:a16="http://schemas.microsoft.com/office/drawing/2014/main" id="{C5E67950-D968-4C0C-B452-A8868E62B6A0}"/>
            </a:ext>
          </a:extLst>
        </xdr:cNvPr>
        <xdr:cNvSpPr/>
      </xdr:nvSpPr>
      <xdr:spPr>
        <a:xfrm>
          <a:off x="133348" y="56891464"/>
          <a:ext cx="5676902" cy="1156607"/>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9</xdr:col>
      <xdr:colOff>465202</xdr:colOff>
      <xdr:row>100</xdr:row>
      <xdr:rowOff>21133</xdr:rowOff>
    </xdr:from>
    <xdr:to>
      <xdr:col>10</xdr:col>
      <xdr:colOff>288311</xdr:colOff>
      <xdr:row>100</xdr:row>
      <xdr:rowOff>510989</xdr:rowOff>
    </xdr:to>
    <xdr:sp macro="" textlink="">
      <xdr:nvSpPr>
        <xdr:cNvPr id="96" name="吹き出し: 四角形 95">
          <a:extLst>
            <a:ext uri="{FF2B5EF4-FFF2-40B4-BE49-F238E27FC236}">
              <a16:creationId xmlns:a16="http://schemas.microsoft.com/office/drawing/2014/main" id="{27681D5F-8773-47E6-B5D0-BDC690AE2979}"/>
            </a:ext>
          </a:extLst>
        </xdr:cNvPr>
        <xdr:cNvSpPr/>
      </xdr:nvSpPr>
      <xdr:spPr>
        <a:xfrm>
          <a:off x="5676738" y="53143419"/>
          <a:ext cx="503466" cy="489856"/>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⑰</a:t>
          </a:r>
        </a:p>
      </xdr:txBody>
    </xdr:sp>
    <xdr:clientData/>
  </xdr:twoCellAnchor>
  <xdr:twoCellAnchor>
    <xdr:from>
      <xdr:col>7</xdr:col>
      <xdr:colOff>348182</xdr:colOff>
      <xdr:row>106</xdr:row>
      <xdr:rowOff>448396</xdr:rowOff>
    </xdr:from>
    <xdr:to>
      <xdr:col>8</xdr:col>
      <xdr:colOff>171290</xdr:colOff>
      <xdr:row>107</xdr:row>
      <xdr:rowOff>407575</xdr:rowOff>
    </xdr:to>
    <xdr:sp macro="" textlink="">
      <xdr:nvSpPr>
        <xdr:cNvPr id="102" name="吹き出し: 四角形 101">
          <a:extLst>
            <a:ext uri="{FF2B5EF4-FFF2-40B4-BE49-F238E27FC236}">
              <a16:creationId xmlns:a16="http://schemas.microsoft.com/office/drawing/2014/main" id="{74B1BB9D-1F9B-4D4A-930D-1FB095DB8699}"/>
            </a:ext>
          </a:extLst>
        </xdr:cNvPr>
        <xdr:cNvSpPr/>
      </xdr:nvSpPr>
      <xdr:spPr>
        <a:xfrm>
          <a:off x="4199003" y="56754753"/>
          <a:ext cx="503466" cy="489858"/>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⑲</a:t>
          </a:r>
        </a:p>
      </xdr:txBody>
    </xdr:sp>
    <xdr:clientData/>
  </xdr:twoCellAnchor>
  <xdr:twoCellAnchor editAs="oneCell">
    <xdr:from>
      <xdr:col>17</xdr:col>
      <xdr:colOff>108858</xdr:colOff>
      <xdr:row>51</xdr:row>
      <xdr:rowOff>204106</xdr:rowOff>
    </xdr:from>
    <xdr:to>
      <xdr:col>18</xdr:col>
      <xdr:colOff>176895</xdr:colOff>
      <xdr:row>52</xdr:row>
      <xdr:rowOff>13607</xdr:rowOff>
    </xdr:to>
    <xdr:pic>
      <xdr:nvPicPr>
        <xdr:cNvPr id="14" name="図 13">
          <a:extLst>
            <a:ext uri="{FF2B5EF4-FFF2-40B4-BE49-F238E27FC236}">
              <a16:creationId xmlns:a16="http://schemas.microsoft.com/office/drawing/2014/main" id="{66EEB3D1-D097-4955-8171-23B430116B77}"/>
            </a:ext>
          </a:extLst>
        </xdr:cNvPr>
        <xdr:cNvPicPr>
          <a:picLocks noChangeAspect="1"/>
        </xdr:cNvPicPr>
      </xdr:nvPicPr>
      <xdr:blipFill rotWithShape="1">
        <a:blip xmlns:r="http://schemas.openxmlformats.org/officeDocument/2006/relationships" r:embed="rId6"/>
        <a:srcRect l="21480" t="32098" r="19452" b="27779"/>
        <a:stretch/>
      </xdr:blipFill>
      <xdr:spPr>
        <a:xfrm>
          <a:off x="10763251" y="27622499"/>
          <a:ext cx="748394" cy="340179"/>
        </a:xfrm>
        <a:prstGeom prst="rect">
          <a:avLst/>
        </a:prstGeom>
      </xdr:spPr>
    </xdr:pic>
    <xdr:clientData/>
  </xdr:twoCellAnchor>
  <xdr:twoCellAnchor>
    <xdr:from>
      <xdr:col>17</xdr:col>
      <xdr:colOff>136071</xdr:colOff>
      <xdr:row>51</xdr:row>
      <xdr:rowOff>247649</xdr:rowOff>
    </xdr:from>
    <xdr:to>
      <xdr:col>18</xdr:col>
      <xdr:colOff>125186</xdr:colOff>
      <xdr:row>51</xdr:row>
      <xdr:rowOff>519792</xdr:rowOff>
    </xdr:to>
    <xdr:sp macro="" textlink="">
      <xdr:nvSpPr>
        <xdr:cNvPr id="105" name="正方形/長方形 104">
          <a:extLst>
            <a:ext uri="{FF2B5EF4-FFF2-40B4-BE49-F238E27FC236}">
              <a16:creationId xmlns:a16="http://schemas.microsoft.com/office/drawing/2014/main" id="{E81BFB1B-46E0-4436-BE0F-8E45CB47B5D9}"/>
            </a:ext>
          </a:extLst>
        </xdr:cNvPr>
        <xdr:cNvSpPr/>
      </xdr:nvSpPr>
      <xdr:spPr>
        <a:xfrm>
          <a:off x="10790464" y="27666042"/>
          <a:ext cx="669472" cy="272143"/>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18</xdr:col>
      <xdr:colOff>138791</xdr:colOff>
      <xdr:row>50</xdr:row>
      <xdr:rowOff>206828</xdr:rowOff>
    </xdr:from>
    <xdr:to>
      <xdr:col>18</xdr:col>
      <xdr:colOff>642256</xdr:colOff>
      <xdr:row>51</xdr:row>
      <xdr:rowOff>166006</xdr:rowOff>
    </xdr:to>
    <xdr:sp macro="" textlink="">
      <xdr:nvSpPr>
        <xdr:cNvPr id="106" name="吹き出し: 四角形 105">
          <a:extLst>
            <a:ext uri="{FF2B5EF4-FFF2-40B4-BE49-F238E27FC236}">
              <a16:creationId xmlns:a16="http://schemas.microsoft.com/office/drawing/2014/main" id="{5F247874-76CD-4E19-9BA3-F8B67E93958A}"/>
            </a:ext>
          </a:extLst>
        </xdr:cNvPr>
        <xdr:cNvSpPr/>
      </xdr:nvSpPr>
      <xdr:spPr>
        <a:xfrm>
          <a:off x="11473541" y="27094542"/>
          <a:ext cx="503465" cy="489857"/>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⑦</a:t>
          </a:r>
        </a:p>
      </xdr:txBody>
    </xdr:sp>
    <xdr:clientData/>
  </xdr:twoCellAnchor>
  <xdr:twoCellAnchor editAs="oneCell">
    <xdr:from>
      <xdr:col>17</xdr:col>
      <xdr:colOff>68035</xdr:colOff>
      <xdr:row>123</xdr:row>
      <xdr:rowOff>231320</xdr:rowOff>
    </xdr:from>
    <xdr:to>
      <xdr:col>19</xdr:col>
      <xdr:colOff>211157</xdr:colOff>
      <xdr:row>124</xdr:row>
      <xdr:rowOff>78992</xdr:rowOff>
    </xdr:to>
    <xdr:pic>
      <xdr:nvPicPr>
        <xdr:cNvPr id="15" name="図 14">
          <a:extLst>
            <a:ext uri="{FF2B5EF4-FFF2-40B4-BE49-F238E27FC236}">
              <a16:creationId xmlns:a16="http://schemas.microsoft.com/office/drawing/2014/main" id="{DC7E1A13-834D-4050-91ED-698A6EC06B66}"/>
            </a:ext>
          </a:extLst>
        </xdr:cNvPr>
        <xdr:cNvPicPr>
          <a:picLocks noChangeAspect="1"/>
        </xdr:cNvPicPr>
      </xdr:nvPicPr>
      <xdr:blipFill rotWithShape="1">
        <a:blip xmlns:r="http://schemas.openxmlformats.org/officeDocument/2006/relationships" r:embed="rId7"/>
        <a:srcRect l="14670" t="26451"/>
        <a:stretch/>
      </xdr:blipFill>
      <xdr:spPr>
        <a:xfrm>
          <a:off x="10722428" y="64946891"/>
          <a:ext cx="1503836" cy="378351"/>
        </a:xfrm>
        <a:prstGeom prst="rect">
          <a:avLst/>
        </a:prstGeom>
      </xdr:spPr>
    </xdr:pic>
    <xdr:clientData/>
  </xdr:twoCellAnchor>
  <xdr:twoCellAnchor>
    <xdr:from>
      <xdr:col>18</xdr:col>
      <xdr:colOff>108858</xdr:colOff>
      <xdr:row>123</xdr:row>
      <xdr:rowOff>258536</xdr:rowOff>
    </xdr:from>
    <xdr:to>
      <xdr:col>19</xdr:col>
      <xdr:colOff>122465</xdr:colOff>
      <xdr:row>123</xdr:row>
      <xdr:rowOff>517071</xdr:rowOff>
    </xdr:to>
    <xdr:sp macro="" textlink="">
      <xdr:nvSpPr>
        <xdr:cNvPr id="107" name="正方形/長方形 106">
          <a:extLst>
            <a:ext uri="{FF2B5EF4-FFF2-40B4-BE49-F238E27FC236}">
              <a16:creationId xmlns:a16="http://schemas.microsoft.com/office/drawing/2014/main" id="{142FDF86-ACB6-48FF-BF34-F42DE6A3113F}"/>
            </a:ext>
          </a:extLst>
        </xdr:cNvPr>
        <xdr:cNvSpPr/>
      </xdr:nvSpPr>
      <xdr:spPr>
        <a:xfrm>
          <a:off x="11443608" y="65504786"/>
          <a:ext cx="693964" cy="258535"/>
        </a:xfrm>
        <a:prstGeom prst="rect">
          <a:avLst/>
        </a:prstGeom>
        <a:noFill/>
        <a:ln w="38100">
          <a:solidFill>
            <a:srgbClr val="FF0000"/>
          </a:solidFill>
          <a:prstDash val="lg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a:t> </a:t>
          </a:r>
        </a:p>
        <a:p>
          <a:pPr algn="l"/>
          <a:endParaRPr kumimoji="1" lang="ja-JP" altLang="en-US" sz="1100"/>
        </a:p>
      </xdr:txBody>
    </xdr:sp>
    <xdr:clientData/>
  </xdr:twoCellAnchor>
  <xdr:twoCellAnchor>
    <xdr:from>
      <xdr:col>19</xdr:col>
      <xdr:colOff>141513</xdr:colOff>
      <xdr:row>122</xdr:row>
      <xdr:rowOff>214992</xdr:rowOff>
    </xdr:from>
    <xdr:to>
      <xdr:col>19</xdr:col>
      <xdr:colOff>644979</xdr:colOff>
      <xdr:row>123</xdr:row>
      <xdr:rowOff>149676</xdr:rowOff>
    </xdr:to>
    <xdr:sp macro="" textlink="">
      <xdr:nvSpPr>
        <xdr:cNvPr id="110" name="吹き出し: 四角形 109">
          <a:extLst>
            <a:ext uri="{FF2B5EF4-FFF2-40B4-BE49-F238E27FC236}">
              <a16:creationId xmlns:a16="http://schemas.microsoft.com/office/drawing/2014/main" id="{65424F67-1CDD-4D5C-924F-C978AB41FEA1}"/>
            </a:ext>
          </a:extLst>
        </xdr:cNvPr>
        <xdr:cNvSpPr/>
      </xdr:nvSpPr>
      <xdr:spPr>
        <a:xfrm>
          <a:off x="12156620" y="64930563"/>
          <a:ext cx="503466" cy="465363"/>
        </a:xfrm>
        <a:prstGeom prst="wedgeRectCallout">
          <a:avLst>
            <a:gd name="adj1" fmla="val -55461"/>
            <a:gd name="adj2" fmla="val 77429"/>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200" b="1">
              <a:solidFill>
                <a:schemeClr val="tx1"/>
              </a:solidFill>
              <a:latin typeface="Yu Gothic UI Semilight" panose="020B0400000000000000" pitchFamily="50" charset="-128"/>
              <a:ea typeface="Yu Gothic UI Semilight" panose="020B0400000000000000" pitchFamily="50" charset="-128"/>
            </a:rPr>
            <a:t>㉒</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34</xdr:col>
      <xdr:colOff>435084</xdr:colOff>
      <xdr:row>0</xdr:row>
      <xdr:rowOff>0</xdr:rowOff>
    </xdr:from>
    <xdr:to>
      <xdr:col>38</xdr:col>
      <xdr:colOff>843642</xdr:colOff>
      <xdr:row>181</xdr:row>
      <xdr:rowOff>6816</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17063357" y="0"/>
          <a:ext cx="0" cy="76179602"/>
          <a:chOff x="21017456" y="3126053"/>
          <a:chExt cx="2152652" cy="54207558"/>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21017456" y="3305123"/>
            <a:ext cx="2152652" cy="54028488"/>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21594945" y="3126053"/>
            <a:ext cx="1019175" cy="191337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twoCellAnchor editAs="oneCell">
    <xdr:from>
      <xdr:col>40</xdr:col>
      <xdr:colOff>0</xdr:colOff>
      <xdr:row>10</xdr:row>
      <xdr:rowOff>136072</xdr:rowOff>
    </xdr:from>
    <xdr:to>
      <xdr:col>53</xdr:col>
      <xdr:colOff>407872</xdr:colOff>
      <xdr:row>15</xdr:row>
      <xdr:rowOff>1509415</xdr:rowOff>
    </xdr:to>
    <xdr:pic>
      <xdr:nvPicPr>
        <xdr:cNvPr id="3" name="図 2">
          <a:extLst>
            <a:ext uri="{FF2B5EF4-FFF2-40B4-BE49-F238E27FC236}">
              <a16:creationId xmlns:a16="http://schemas.microsoft.com/office/drawing/2014/main" id="{169F526A-7F13-41FA-B39B-D9C989DB6D34}"/>
            </a:ext>
          </a:extLst>
        </xdr:cNvPr>
        <xdr:cNvPicPr>
          <a:picLocks noChangeAspect="1"/>
        </xdr:cNvPicPr>
      </xdr:nvPicPr>
      <xdr:blipFill>
        <a:blip xmlns:r="http://schemas.openxmlformats.org/officeDocument/2006/relationships" r:embed="rId1"/>
        <a:stretch>
          <a:fillRect/>
        </a:stretch>
      </xdr:blipFill>
      <xdr:spPr>
        <a:xfrm>
          <a:off x="17743714" y="4218215"/>
          <a:ext cx="7306694" cy="2734057"/>
        </a:xfrm>
        <a:prstGeom prst="rect">
          <a:avLst/>
        </a:prstGeom>
      </xdr:spPr>
    </xdr:pic>
    <xdr:clientData/>
  </xdr:twoCellAnchor>
  <xdr:twoCellAnchor>
    <xdr:from>
      <xdr:col>1</xdr:col>
      <xdr:colOff>384736</xdr:colOff>
      <xdr:row>133</xdr:row>
      <xdr:rowOff>176895</xdr:rowOff>
    </xdr:from>
    <xdr:to>
      <xdr:col>34</xdr:col>
      <xdr:colOff>598714</xdr:colOff>
      <xdr:row>146</xdr:row>
      <xdr:rowOff>122464</xdr:rowOff>
    </xdr:to>
    <xdr:sp macro="" textlink="">
      <xdr:nvSpPr>
        <xdr:cNvPr id="6" name="正方形/長方形 5">
          <a:extLst>
            <a:ext uri="{FF2B5EF4-FFF2-40B4-BE49-F238E27FC236}">
              <a16:creationId xmlns:a16="http://schemas.microsoft.com/office/drawing/2014/main" id="{2F036DDB-FBCE-4C64-A090-B061E3D99F29}"/>
            </a:ext>
          </a:extLst>
        </xdr:cNvPr>
        <xdr:cNvSpPr/>
      </xdr:nvSpPr>
      <xdr:spPr>
        <a:xfrm>
          <a:off x="779343" y="68185395"/>
          <a:ext cx="16882728" cy="3047998"/>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78441</xdr:colOff>
      <xdr:row>0</xdr:row>
      <xdr:rowOff>56029</xdr:rowOff>
    </xdr:from>
    <xdr:to>
      <xdr:col>47</xdr:col>
      <xdr:colOff>1221441</xdr:colOff>
      <xdr:row>37</xdr:row>
      <xdr:rowOff>134471</xdr:rowOff>
    </xdr:to>
    <xdr:grpSp>
      <xdr:nvGrpSpPr>
        <xdr:cNvPr id="2" name="グループ化 1">
          <a:extLst>
            <a:ext uri="{FF2B5EF4-FFF2-40B4-BE49-F238E27FC236}">
              <a16:creationId xmlns:a16="http://schemas.microsoft.com/office/drawing/2014/main" id="{5591595B-8BBF-4FB8-BA12-C3A4A87E5037}"/>
            </a:ext>
          </a:extLst>
        </xdr:cNvPr>
        <xdr:cNvGrpSpPr/>
      </xdr:nvGrpSpPr>
      <xdr:grpSpPr>
        <a:xfrm>
          <a:off x="5972735" y="56029"/>
          <a:ext cx="0" cy="9200030"/>
          <a:chOff x="21017456" y="4134867"/>
          <a:chExt cx="2152652" cy="53198744"/>
        </a:xfrm>
      </xdr:grpSpPr>
      <xdr:sp macro="" textlink="">
        <xdr:nvSpPr>
          <xdr:cNvPr id="3" name="正方形/長方形 2">
            <a:extLst>
              <a:ext uri="{FF2B5EF4-FFF2-40B4-BE49-F238E27FC236}">
                <a16:creationId xmlns:a16="http://schemas.microsoft.com/office/drawing/2014/main" id="{F58AC85C-76EF-429B-B1C4-F257B1B77DF8}"/>
              </a:ext>
            </a:extLst>
          </xdr:cNvPr>
          <xdr:cNvSpPr/>
        </xdr:nvSpPr>
        <xdr:spPr>
          <a:xfrm>
            <a:off x="21017456" y="4134867"/>
            <a:ext cx="2152652" cy="53198744"/>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DAB315C5-5959-4761-A14E-FD6B32AD1B6E}"/>
              </a:ext>
            </a:extLst>
          </xdr:cNvPr>
          <xdr:cNvSpPr/>
        </xdr:nvSpPr>
        <xdr:spPr>
          <a:xfrm>
            <a:off x="21571166" y="8259686"/>
            <a:ext cx="1019175" cy="44943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42</xdr:col>
      <xdr:colOff>44821</xdr:colOff>
      <xdr:row>0</xdr:row>
      <xdr:rowOff>89647</xdr:rowOff>
    </xdr:from>
    <xdr:to>
      <xdr:col>57</xdr:col>
      <xdr:colOff>156879</xdr:colOff>
      <xdr:row>60</xdr:row>
      <xdr:rowOff>10250</xdr:rowOff>
    </xdr:to>
    <xdr:grpSp>
      <xdr:nvGrpSpPr>
        <xdr:cNvPr id="2" name="グループ化 1">
          <a:extLst>
            <a:ext uri="{FF2B5EF4-FFF2-40B4-BE49-F238E27FC236}">
              <a16:creationId xmlns:a16="http://schemas.microsoft.com/office/drawing/2014/main" id="{9BB241C6-2467-4C37-A5AC-A8EC17CE835A}"/>
            </a:ext>
          </a:extLst>
        </xdr:cNvPr>
        <xdr:cNvGrpSpPr/>
      </xdr:nvGrpSpPr>
      <xdr:grpSpPr>
        <a:xfrm>
          <a:off x="5972735" y="89647"/>
          <a:ext cx="0" cy="13143544"/>
          <a:chOff x="20981578" y="-35899552"/>
          <a:chExt cx="2152652" cy="89102388"/>
        </a:xfrm>
      </xdr:grpSpPr>
      <xdr:sp macro="" textlink="">
        <xdr:nvSpPr>
          <xdr:cNvPr id="3" name="正方形/長方形 2">
            <a:extLst>
              <a:ext uri="{FF2B5EF4-FFF2-40B4-BE49-F238E27FC236}">
                <a16:creationId xmlns:a16="http://schemas.microsoft.com/office/drawing/2014/main" id="{D85A6141-69C2-4904-9E82-5ECC5F10A400}"/>
              </a:ext>
            </a:extLst>
          </xdr:cNvPr>
          <xdr:cNvSpPr/>
        </xdr:nvSpPr>
        <xdr:spPr>
          <a:xfrm>
            <a:off x="20981578" y="-35899552"/>
            <a:ext cx="2152652" cy="53198744"/>
          </a:xfrm>
          <a:prstGeom prst="rect">
            <a:avLst/>
          </a:prstGeom>
          <a:solidFill>
            <a:schemeClr val="bg1">
              <a:alpha val="5000"/>
            </a:schemeClr>
          </a:solid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正方形/長方形 3">
            <a:extLst>
              <a:ext uri="{FF2B5EF4-FFF2-40B4-BE49-F238E27FC236}">
                <a16:creationId xmlns:a16="http://schemas.microsoft.com/office/drawing/2014/main" id="{E0618567-4955-4D5E-9C89-28D74051641C}"/>
              </a:ext>
            </a:extLst>
          </xdr:cNvPr>
          <xdr:cNvSpPr/>
        </xdr:nvSpPr>
        <xdr:spPr>
          <a:xfrm>
            <a:off x="21571166" y="8259686"/>
            <a:ext cx="1019175" cy="44943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ctr"/>
          <a:lstStyle/>
          <a:p>
            <a:pPr algn="ctr"/>
            <a:r>
              <a:rPr kumimoji="1" lang="ja-JP" altLang="en-US" sz="2400">
                <a:solidFill>
                  <a:srgbClr val="FF0000"/>
                </a:solidFill>
              </a:rPr>
              <a:t>ここの文字列は編集しないでください</a:t>
            </a:r>
          </a:p>
        </xdr:txBody>
      </xdr:sp>
    </xdr:grpSp>
    <xdr:clientData/>
  </xdr:twoCellAnchor>
</xdr:wsDr>
</file>

<file path=xl/richData/rdRichValueTypes.xml><?xml version="1.0" encoding="utf-8"?>
<rvTypesInfo xmlns="http://schemas.microsoft.com/office/spreadsheetml/2017/richdata2">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19</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1C362-F2B6-428F-84CB-586940A66DDC}">
  <sheetPr>
    <tabColor rgb="FF92D050"/>
    <pageSetUpPr fitToPage="1"/>
  </sheetPr>
  <dimension ref="A1:AN141"/>
  <sheetViews>
    <sheetView tabSelected="1" view="pageBreakPreview" zoomScale="70" zoomScaleNormal="100" zoomScaleSheetLayoutView="70" workbookViewId="0">
      <selection activeCell="Y60" sqref="Y60"/>
    </sheetView>
  </sheetViews>
  <sheetFormatPr defaultColWidth="9" defaultRowHeight="64.5" customHeight="1"/>
  <cols>
    <col min="1" max="1" width="4.125" style="131" customWidth="1"/>
    <col min="2" max="2" width="12.125" style="139" bestFit="1" customWidth="1"/>
    <col min="3" max="4" width="2.75" style="120" customWidth="1"/>
    <col min="5" max="5" width="9" style="120" customWidth="1"/>
    <col min="6" max="6" width="13.5" style="120" customWidth="1"/>
    <col min="7" max="7" width="6.5" style="120" customWidth="1"/>
    <col min="8" max="8" width="9" style="120" customWidth="1"/>
    <col min="9" max="14" width="9" style="120"/>
    <col min="15" max="21" width="9" style="120" customWidth="1"/>
    <col min="22" max="16384" width="9" style="120"/>
  </cols>
  <sheetData>
    <row r="1" spans="1:24" ht="42" customHeight="1">
      <c r="A1" s="117"/>
      <c r="B1" s="118"/>
      <c r="C1" s="119"/>
      <c r="D1" s="119"/>
      <c r="E1" s="119"/>
      <c r="F1" s="119"/>
      <c r="G1" s="119"/>
      <c r="H1" s="119"/>
      <c r="I1" s="119"/>
      <c r="J1" s="119"/>
      <c r="K1" s="119"/>
      <c r="L1" s="119"/>
      <c r="M1" s="119"/>
      <c r="N1" s="119"/>
      <c r="O1" s="119"/>
      <c r="P1" s="119"/>
      <c r="Q1" s="119"/>
      <c r="R1" s="119"/>
      <c r="S1" s="287" t="s">
        <v>387</v>
      </c>
      <c r="T1" s="287"/>
      <c r="U1" s="287"/>
      <c r="V1" s="287"/>
      <c r="W1" s="287"/>
      <c r="X1" s="287"/>
    </row>
    <row r="2" spans="1:24" ht="75.75" customHeight="1">
      <c r="A2" s="288" t="s">
        <v>92</v>
      </c>
      <c r="B2" s="288"/>
      <c r="C2" s="288"/>
      <c r="D2" s="288"/>
      <c r="E2" s="288"/>
      <c r="F2" s="288"/>
      <c r="G2" s="288"/>
      <c r="H2" s="288"/>
      <c r="I2" s="288"/>
      <c r="J2" s="288"/>
      <c r="K2" s="288"/>
      <c r="L2" s="288"/>
      <c r="M2" s="288"/>
      <c r="N2" s="288"/>
      <c r="O2" s="288"/>
      <c r="P2" s="288"/>
      <c r="Q2" s="288"/>
      <c r="R2" s="288"/>
      <c r="S2" s="288"/>
      <c r="T2" s="288"/>
      <c r="U2" s="288"/>
      <c r="V2" s="288"/>
      <c r="W2" s="288"/>
      <c r="X2" s="288"/>
    </row>
    <row r="3" spans="1:24" s="122" customFormat="1" ht="42" customHeight="1">
      <c r="A3" s="121" t="s">
        <v>71</v>
      </c>
      <c r="B3" s="117"/>
      <c r="C3" s="117"/>
      <c r="D3" s="117"/>
      <c r="E3" s="117"/>
      <c r="F3" s="117"/>
      <c r="G3" s="117"/>
      <c r="H3" s="117"/>
      <c r="I3" s="117"/>
      <c r="J3" s="117"/>
      <c r="K3" s="117"/>
      <c r="L3" s="117"/>
      <c r="M3" s="117"/>
      <c r="N3" s="117"/>
      <c r="O3" s="117"/>
      <c r="P3" s="117"/>
      <c r="Q3" s="117"/>
      <c r="R3" s="117"/>
      <c r="S3" s="117"/>
      <c r="T3" s="117"/>
      <c r="U3" s="117"/>
      <c r="V3" s="117"/>
      <c r="W3" s="117"/>
      <c r="X3" s="117"/>
    </row>
    <row r="4" spans="1:24" s="125" customFormat="1" ht="42" customHeight="1">
      <c r="A4" s="123"/>
      <c r="B4" s="124"/>
      <c r="C4" s="123"/>
      <c r="D4" s="123" t="s">
        <v>70</v>
      </c>
      <c r="E4" s="123"/>
      <c r="F4" s="123"/>
      <c r="G4" s="123"/>
      <c r="H4" s="123"/>
      <c r="I4" s="123"/>
      <c r="J4" s="123"/>
      <c r="K4" s="123"/>
      <c r="L4" s="123"/>
      <c r="M4" s="123"/>
      <c r="N4" s="123"/>
      <c r="O4" s="123"/>
      <c r="P4" s="123"/>
      <c r="Q4" s="123"/>
      <c r="R4" s="123"/>
      <c r="S4" s="123"/>
      <c r="T4" s="123"/>
      <c r="U4" s="123"/>
      <c r="V4" s="123"/>
      <c r="W4" s="123"/>
      <c r="X4" s="123"/>
    </row>
    <row r="5" spans="1:24" s="125" customFormat="1" ht="42" customHeight="1">
      <c r="A5" s="123"/>
      <c r="B5" s="124"/>
      <c r="C5" s="123"/>
      <c r="D5" s="123"/>
      <c r="E5" s="295" t="s">
        <v>69</v>
      </c>
      <c r="F5" s="295"/>
      <c r="G5" s="295"/>
      <c r="H5" s="295"/>
      <c r="I5" s="295"/>
      <c r="J5" s="295"/>
      <c r="K5" s="295"/>
      <c r="L5" s="295"/>
      <c r="M5" s="295"/>
      <c r="N5" s="295"/>
      <c r="O5" s="295"/>
      <c r="P5" s="295"/>
      <c r="Q5" s="295"/>
      <c r="R5" s="295"/>
      <c r="S5" s="295"/>
      <c r="T5" s="295"/>
      <c r="U5" s="295"/>
      <c r="V5" s="295"/>
      <c r="W5" s="295"/>
      <c r="X5" s="295"/>
    </row>
    <row r="6" spans="1:24" s="125" customFormat="1" ht="42" customHeight="1">
      <c r="A6" s="123"/>
      <c r="B6" s="124"/>
      <c r="C6" s="123"/>
      <c r="D6" s="123"/>
      <c r="E6" s="289" t="s">
        <v>68</v>
      </c>
      <c r="F6" s="289"/>
      <c r="G6" s="289"/>
      <c r="H6" s="289"/>
      <c r="I6" s="289"/>
      <c r="J6" s="289"/>
      <c r="K6" s="289"/>
      <c r="L6" s="289"/>
      <c r="M6" s="289"/>
      <c r="N6" s="289"/>
      <c r="O6" s="289"/>
      <c r="P6" s="289"/>
      <c r="Q6" s="289"/>
      <c r="R6" s="289"/>
      <c r="S6" s="289"/>
      <c r="T6" s="289"/>
      <c r="U6" s="289"/>
      <c r="V6" s="289"/>
      <c r="W6" s="289"/>
      <c r="X6" s="289"/>
    </row>
    <row r="7" spans="1:24" s="125" customFormat="1" ht="35.25">
      <c r="A7" s="123"/>
      <c r="B7" s="124"/>
      <c r="C7" s="123"/>
      <c r="D7" s="123"/>
      <c r="E7" s="126"/>
      <c r="F7" s="126"/>
      <c r="G7" s="126"/>
      <c r="H7" s="126"/>
      <c r="I7" s="126"/>
      <c r="J7" s="126"/>
      <c r="K7" s="126"/>
      <c r="L7" s="126"/>
      <c r="M7" s="126"/>
      <c r="N7" s="126"/>
      <c r="O7" s="126"/>
      <c r="P7" s="126"/>
      <c r="Q7" s="126"/>
      <c r="R7" s="126"/>
      <c r="S7" s="126"/>
      <c r="T7" s="126"/>
      <c r="U7" s="126"/>
      <c r="V7" s="126"/>
      <c r="W7" s="126"/>
      <c r="X7" s="126"/>
    </row>
    <row r="8" spans="1:24" s="128" customFormat="1" ht="42" customHeight="1">
      <c r="A8" s="121" t="s">
        <v>72</v>
      </c>
      <c r="B8" s="127"/>
      <c r="C8" s="127"/>
      <c r="D8" s="127"/>
      <c r="E8" s="127"/>
      <c r="F8" s="127"/>
      <c r="G8" s="127"/>
      <c r="H8" s="127"/>
      <c r="I8" s="127"/>
      <c r="J8" s="127"/>
      <c r="K8" s="127"/>
      <c r="L8" s="127"/>
      <c r="M8" s="127"/>
      <c r="N8" s="127"/>
      <c r="O8" s="127"/>
      <c r="P8" s="127"/>
      <c r="Q8" s="127"/>
      <c r="R8" s="127"/>
      <c r="S8" s="127"/>
      <c r="T8" s="127"/>
      <c r="U8" s="127"/>
      <c r="V8" s="127"/>
      <c r="W8" s="127"/>
      <c r="X8" s="117"/>
    </row>
    <row r="9" spans="1:24" s="130" customFormat="1" ht="42" customHeight="1">
      <c r="A9" s="121"/>
      <c r="B9" s="140" t="s">
        <v>79</v>
      </c>
      <c r="C9" s="121" t="s">
        <v>67</v>
      </c>
      <c r="D9" s="121"/>
      <c r="E9" s="121"/>
      <c r="F9" s="121"/>
      <c r="G9" s="121"/>
      <c r="H9" s="121"/>
      <c r="I9" s="121"/>
      <c r="J9" s="121"/>
      <c r="K9" s="121"/>
      <c r="L9" s="121"/>
      <c r="M9" s="121"/>
      <c r="N9" s="121"/>
      <c r="O9" s="121"/>
      <c r="P9" s="121"/>
      <c r="Q9" s="121"/>
      <c r="R9" s="121"/>
      <c r="S9" s="121"/>
      <c r="T9" s="121"/>
      <c r="U9" s="121"/>
      <c r="V9" s="121"/>
      <c r="W9" s="121"/>
      <c r="X9" s="121"/>
    </row>
    <row r="10" spans="1:24" s="130" customFormat="1" ht="42" customHeight="1">
      <c r="A10" s="121"/>
      <c r="B10" s="140"/>
      <c r="C10" s="121"/>
      <c r="D10" s="123" t="s">
        <v>348</v>
      </c>
      <c r="E10" s="121"/>
      <c r="F10" s="121"/>
      <c r="G10" s="121"/>
      <c r="H10" s="121"/>
      <c r="I10" s="121"/>
      <c r="J10" s="121"/>
      <c r="K10" s="121"/>
      <c r="L10" s="121"/>
      <c r="M10" s="121"/>
      <c r="N10" s="121"/>
      <c r="O10" s="121"/>
      <c r="P10" s="121"/>
      <c r="Q10" s="121"/>
      <c r="R10" s="121"/>
      <c r="S10" s="121"/>
      <c r="T10" s="121"/>
      <c r="U10" s="121"/>
      <c r="V10" s="121"/>
      <c r="W10" s="121"/>
      <c r="X10" s="121"/>
    </row>
    <row r="11" spans="1:24" s="131" customFormat="1" ht="42" customHeight="1">
      <c r="A11" s="117"/>
      <c r="B11" s="140" t="s">
        <v>80</v>
      </c>
      <c r="C11" s="121" t="s">
        <v>347</v>
      </c>
      <c r="D11" s="117"/>
      <c r="E11" s="117"/>
      <c r="F11" s="117"/>
      <c r="G11" s="117"/>
      <c r="H11" s="117"/>
      <c r="I11" s="117"/>
      <c r="J11" s="117"/>
      <c r="K11" s="117"/>
      <c r="L11" s="117"/>
      <c r="M11" s="117"/>
      <c r="N11" s="117"/>
      <c r="O11" s="117"/>
      <c r="P11" s="117"/>
      <c r="Q11" s="117"/>
      <c r="R11" s="117"/>
      <c r="S11" s="117"/>
      <c r="T11" s="117"/>
      <c r="U11" s="117"/>
      <c r="V11" s="117"/>
      <c r="W11" s="117"/>
      <c r="X11" s="117"/>
    </row>
    <row r="12" spans="1:24" s="125" customFormat="1" ht="42" customHeight="1">
      <c r="A12" s="123"/>
      <c r="B12" s="141"/>
      <c r="C12" s="123"/>
      <c r="D12" s="123" t="s">
        <v>84</v>
      </c>
      <c r="E12" s="123"/>
      <c r="F12" s="123"/>
      <c r="G12" s="123"/>
      <c r="H12" s="123"/>
      <c r="I12" s="123"/>
      <c r="J12" s="123"/>
      <c r="K12" s="123"/>
      <c r="L12" s="123"/>
      <c r="M12" s="123"/>
      <c r="N12" s="123"/>
      <c r="O12" s="123"/>
      <c r="P12" s="123"/>
      <c r="Q12" s="123"/>
      <c r="R12" s="123"/>
      <c r="S12" s="123"/>
      <c r="T12" s="123"/>
      <c r="U12" s="123"/>
      <c r="V12" s="123"/>
      <c r="W12" s="123"/>
      <c r="X12" s="123"/>
    </row>
    <row r="13" spans="1:24" s="131" customFormat="1" ht="42" customHeight="1">
      <c r="A13" s="117"/>
      <c r="B13" s="140" t="s">
        <v>81</v>
      </c>
      <c r="C13" s="117" t="s">
        <v>83</v>
      </c>
      <c r="D13" s="117"/>
      <c r="E13" s="117"/>
      <c r="F13" s="117"/>
      <c r="G13" s="117"/>
      <c r="H13" s="117"/>
      <c r="I13" s="117"/>
      <c r="J13" s="117"/>
      <c r="K13" s="117"/>
      <c r="L13" s="117"/>
      <c r="M13" s="117"/>
      <c r="N13" s="117"/>
      <c r="O13" s="117"/>
      <c r="P13" s="117"/>
      <c r="Q13" s="117"/>
      <c r="R13" s="117"/>
      <c r="S13" s="117"/>
      <c r="T13" s="117"/>
      <c r="U13" s="117"/>
      <c r="V13" s="117"/>
      <c r="W13" s="117"/>
      <c r="X13" s="117"/>
    </row>
    <row r="14" spans="1:24" s="125" customFormat="1" ht="42" customHeight="1">
      <c r="A14" s="123"/>
      <c r="B14" s="141"/>
      <c r="C14" s="123"/>
      <c r="D14" s="123" t="s">
        <v>78</v>
      </c>
      <c r="E14" s="123"/>
      <c r="F14" s="123"/>
      <c r="G14" s="123"/>
      <c r="H14" s="123"/>
      <c r="I14" s="123"/>
      <c r="J14" s="123"/>
      <c r="K14" s="123"/>
      <c r="L14" s="123"/>
      <c r="M14" s="123"/>
      <c r="N14" s="123"/>
      <c r="O14" s="123"/>
      <c r="P14" s="123"/>
      <c r="Q14" s="123"/>
      <c r="R14" s="123"/>
      <c r="S14" s="123"/>
      <c r="T14" s="123"/>
      <c r="U14" s="123"/>
      <c r="V14" s="123"/>
      <c r="W14" s="123"/>
      <c r="X14" s="123"/>
    </row>
    <row r="15" spans="1:24" s="125" customFormat="1" ht="42" customHeight="1">
      <c r="A15" s="123"/>
      <c r="B15" s="141"/>
      <c r="C15" s="123"/>
      <c r="D15" s="132" t="s">
        <v>345</v>
      </c>
      <c r="E15" s="133"/>
      <c r="F15" s="133"/>
      <c r="G15" s="133"/>
      <c r="H15" s="133"/>
      <c r="I15" s="133"/>
      <c r="J15" s="133"/>
      <c r="K15" s="133"/>
      <c r="L15" s="133"/>
      <c r="M15" s="133"/>
      <c r="N15" s="133"/>
      <c r="O15" s="133"/>
      <c r="P15" s="133"/>
      <c r="Q15" s="133"/>
      <c r="R15" s="133"/>
      <c r="S15" s="133"/>
      <c r="T15" s="133"/>
      <c r="U15" s="133"/>
      <c r="V15" s="133"/>
      <c r="W15" s="133"/>
      <c r="X15" s="133"/>
    </row>
    <row r="16" spans="1:24" s="125" customFormat="1" ht="42" customHeight="1">
      <c r="A16" s="123"/>
      <c r="B16" s="141"/>
      <c r="C16" s="123"/>
      <c r="D16" s="132" t="s">
        <v>346</v>
      </c>
      <c r="E16" s="133"/>
      <c r="F16" s="133"/>
      <c r="G16" s="133"/>
      <c r="H16" s="133"/>
      <c r="I16" s="133"/>
      <c r="J16" s="133"/>
      <c r="K16" s="133"/>
      <c r="L16" s="133"/>
      <c r="M16" s="133"/>
      <c r="N16" s="133"/>
      <c r="O16" s="133"/>
      <c r="P16" s="133"/>
      <c r="Q16" s="133"/>
      <c r="R16" s="133"/>
      <c r="S16" s="133"/>
      <c r="T16" s="133"/>
      <c r="U16" s="133"/>
      <c r="V16" s="133"/>
      <c r="W16" s="133"/>
      <c r="X16" s="133"/>
    </row>
    <row r="17" spans="1:24" s="125" customFormat="1" ht="42" customHeight="1">
      <c r="A17" s="123"/>
      <c r="B17" s="140" t="s">
        <v>82</v>
      </c>
      <c r="C17" s="168" t="s">
        <v>349</v>
      </c>
      <c r="D17" s="132"/>
      <c r="E17" s="133"/>
      <c r="F17" s="133"/>
      <c r="G17" s="133"/>
      <c r="H17" s="133"/>
      <c r="I17" s="133"/>
      <c r="J17" s="133"/>
      <c r="K17" s="133"/>
      <c r="L17" s="133"/>
      <c r="M17" s="133"/>
      <c r="N17" s="133"/>
      <c r="O17" s="133"/>
      <c r="P17" s="133"/>
      <c r="Q17" s="133"/>
      <c r="R17" s="133"/>
      <c r="S17" s="133"/>
      <c r="T17" s="133"/>
      <c r="U17" s="133"/>
      <c r="V17" s="133"/>
      <c r="W17" s="133"/>
      <c r="X17" s="133"/>
    </row>
    <row r="18" spans="1:24" s="131" customFormat="1" ht="42" customHeight="1">
      <c r="A18" s="117"/>
      <c r="B18" s="140" t="s">
        <v>85</v>
      </c>
      <c r="C18" s="121" t="s">
        <v>350</v>
      </c>
      <c r="D18" s="117"/>
      <c r="E18" s="117"/>
      <c r="F18" s="117"/>
      <c r="G18" s="117"/>
      <c r="H18" s="117"/>
      <c r="I18" s="117"/>
      <c r="J18" s="117"/>
      <c r="K18" s="117"/>
      <c r="L18" s="117"/>
      <c r="M18" s="117"/>
      <c r="N18" s="117"/>
      <c r="O18" s="117"/>
      <c r="P18" s="117"/>
      <c r="Q18" s="117"/>
      <c r="R18" s="117"/>
      <c r="S18" s="117"/>
      <c r="T18" s="117"/>
      <c r="U18" s="117"/>
      <c r="V18" s="117"/>
      <c r="W18" s="117"/>
      <c r="X18" s="117"/>
    </row>
    <row r="19" spans="1:24" s="131" customFormat="1" ht="42" customHeight="1">
      <c r="A19" s="117"/>
      <c r="B19" s="140"/>
      <c r="C19" s="121"/>
      <c r="D19" s="117"/>
      <c r="E19" s="117"/>
      <c r="F19" s="117"/>
      <c r="G19" s="117"/>
      <c r="H19" s="117"/>
      <c r="I19" s="117"/>
      <c r="J19" s="117"/>
      <c r="K19" s="117"/>
      <c r="L19" s="117"/>
      <c r="M19" s="117"/>
      <c r="N19" s="117"/>
      <c r="O19" s="117"/>
      <c r="P19" s="117"/>
      <c r="Q19" s="117"/>
      <c r="R19" s="117"/>
      <c r="S19" s="117"/>
      <c r="T19" s="117"/>
      <c r="U19" s="117"/>
      <c r="V19" s="117"/>
      <c r="W19" s="117"/>
      <c r="X19" s="117"/>
    </row>
    <row r="20" spans="1:24" s="131" customFormat="1" ht="42" customHeight="1">
      <c r="A20" s="117"/>
      <c r="B20" s="129"/>
      <c r="C20" s="121"/>
      <c r="D20" s="117"/>
      <c r="E20" s="117"/>
      <c r="F20" s="117"/>
      <c r="G20" s="117"/>
      <c r="H20" s="117"/>
      <c r="I20" s="117"/>
      <c r="J20" s="117"/>
      <c r="K20" s="117"/>
      <c r="L20" s="117"/>
      <c r="M20" s="117"/>
      <c r="N20" s="117"/>
      <c r="O20" s="117"/>
      <c r="P20" s="117"/>
      <c r="Q20" s="117"/>
      <c r="R20" s="117"/>
      <c r="S20" s="117"/>
      <c r="T20" s="117"/>
      <c r="U20" s="117"/>
      <c r="V20" s="117"/>
      <c r="W20" s="117"/>
      <c r="X20" s="117"/>
    </row>
    <row r="21" spans="1:24" s="131" customFormat="1" ht="42" customHeight="1">
      <c r="A21" s="117"/>
      <c r="B21" s="129"/>
      <c r="C21" s="121"/>
      <c r="D21" s="117"/>
      <c r="E21" s="117"/>
      <c r="F21" s="117"/>
      <c r="G21" s="117"/>
      <c r="H21" s="117"/>
      <c r="I21" s="117"/>
      <c r="J21" s="117"/>
      <c r="K21" s="117"/>
      <c r="L21" s="117"/>
      <c r="M21" s="117"/>
      <c r="N21" s="117"/>
      <c r="O21" s="117"/>
      <c r="P21" s="117"/>
      <c r="Q21" s="117"/>
      <c r="R21" s="117"/>
      <c r="S21" s="117"/>
      <c r="T21" s="117"/>
      <c r="U21" s="117"/>
      <c r="V21" s="117"/>
      <c r="W21" s="117"/>
      <c r="X21" s="117"/>
    </row>
    <row r="22" spans="1:24" s="131" customFormat="1" ht="42" customHeight="1">
      <c r="A22" s="117"/>
      <c r="B22" s="129"/>
      <c r="C22" s="121"/>
      <c r="D22" s="117"/>
      <c r="E22" s="117"/>
      <c r="F22" s="117"/>
      <c r="G22" s="117"/>
      <c r="H22" s="117"/>
      <c r="I22" s="117"/>
      <c r="J22" s="117"/>
      <c r="K22" s="117"/>
      <c r="L22" s="117"/>
      <c r="M22" s="117"/>
      <c r="N22" s="117"/>
      <c r="O22" s="117"/>
      <c r="P22" s="117"/>
      <c r="Q22" s="117"/>
      <c r="R22" s="117"/>
      <c r="S22" s="117"/>
      <c r="T22" s="117"/>
      <c r="U22" s="117"/>
      <c r="V22" s="117"/>
      <c r="W22" s="117"/>
      <c r="X22" s="117"/>
    </row>
    <row r="23" spans="1:24" s="131" customFormat="1" ht="42" customHeight="1">
      <c r="A23" s="117"/>
      <c r="B23" s="129"/>
      <c r="C23" s="121"/>
      <c r="D23" s="117"/>
      <c r="E23" s="117"/>
      <c r="F23" s="117"/>
      <c r="G23" s="117"/>
      <c r="H23" s="117"/>
      <c r="I23" s="117"/>
      <c r="J23" s="117"/>
      <c r="K23" s="117"/>
      <c r="L23" s="117"/>
      <c r="M23" s="117"/>
      <c r="N23" s="117"/>
      <c r="O23" s="117"/>
      <c r="P23" s="117"/>
      <c r="Q23" s="117"/>
      <c r="R23" s="117"/>
      <c r="S23" s="117"/>
      <c r="T23" s="117"/>
      <c r="U23" s="117"/>
      <c r="V23" s="117"/>
      <c r="W23" s="117"/>
      <c r="X23" s="117"/>
    </row>
    <row r="24" spans="1:24" s="131" customFormat="1" ht="42" customHeight="1">
      <c r="A24" s="117"/>
      <c r="B24" s="129"/>
      <c r="C24" s="121"/>
      <c r="D24" s="117"/>
      <c r="E24" s="117"/>
      <c r="F24" s="117"/>
      <c r="G24" s="117"/>
      <c r="H24" s="117"/>
      <c r="I24" s="117"/>
      <c r="J24" s="117"/>
      <c r="K24" s="117"/>
      <c r="L24" s="117"/>
      <c r="M24" s="117"/>
      <c r="N24" s="117"/>
      <c r="O24" s="117"/>
      <c r="P24" s="117"/>
      <c r="Q24" s="117"/>
      <c r="R24" s="117"/>
      <c r="S24" s="117"/>
      <c r="T24" s="117"/>
      <c r="U24" s="117"/>
      <c r="V24" s="117"/>
      <c r="W24" s="117"/>
      <c r="X24" s="117"/>
    </row>
    <row r="25" spans="1:24" s="131" customFormat="1" ht="42" customHeight="1">
      <c r="A25" s="117"/>
      <c r="B25" s="129"/>
      <c r="C25" s="121"/>
      <c r="D25" s="117"/>
      <c r="E25" s="117"/>
      <c r="F25" s="117"/>
      <c r="G25" s="117"/>
      <c r="H25" s="117"/>
      <c r="I25" s="117"/>
      <c r="J25" s="117"/>
      <c r="K25" s="117"/>
      <c r="L25" s="117"/>
      <c r="M25" s="117"/>
      <c r="N25" s="117"/>
      <c r="O25" s="117"/>
      <c r="P25" s="117"/>
      <c r="Q25" s="117"/>
      <c r="R25" s="117"/>
      <c r="S25" s="117"/>
      <c r="T25" s="117"/>
      <c r="U25" s="117"/>
      <c r="V25" s="117"/>
      <c r="W25" s="117"/>
      <c r="X25" s="117"/>
    </row>
    <row r="26" spans="1:24" s="131" customFormat="1" ht="42" customHeight="1">
      <c r="A26" s="117"/>
      <c r="B26" s="129"/>
      <c r="C26" s="121"/>
      <c r="D26" s="117"/>
      <c r="E26" s="117"/>
      <c r="F26" s="117"/>
      <c r="G26" s="117"/>
      <c r="H26" s="117"/>
      <c r="I26" s="117"/>
      <c r="J26" s="117"/>
      <c r="K26" s="117"/>
      <c r="L26" s="117"/>
      <c r="M26" s="117"/>
      <c r="N26" s="117"/>
      <c r="O26" s="117"/>
      <c r="P26" s="117"/>
      <c r="Q26" s="117"/>
      <c r="R26" s="117"/>
      <c r="S26" s="117"/>
      <c r="T26" s="117"/>
      <c r="U26" s="117"/>
      <c r="V26" s="117"/>
      <c r="W26" s="117"/>
      <c r="X26" s="117"/>
    </row>
    <row r="27" spans="1:24" s="131" customFormat="1" ht="42" customHeight="1">
      <c r="A27" s="117"/>
      <c r="B27" s="129"/>
      <c r="C27" s="121"/>
      <c r="D27" s="117"/>
      <c r="E27" s="117"/>
      <c r="F27" s="117"/>
      <c r="G27" s="117"/>
      <c r="H27" s="117"/>
      <c r="I27" s="117"/>
      <c r="J27" s="117"/>
      <c r="K27" s="117"/>
      <c r="L27" s="117"/>
      <c r="M27" s="117"/>
      <c r="N27" s="117"/>
      <c r="O27" s="117"/>
      <c r="P27" s="117"/>
      <c r="Q27" s="117"/>
      <c r="R27" s="117"/>
      <c r="S27" s="117"/>
      <c r="T27" s="117"/>
      <c r="U27" s="117"/>
      <c r="V27" s="117"/>
      <c r="W27" s="117"/>
      <c r="X27" s="117"/>
    </row>
    <row r="28" spans="1:24" s="131" customFormat="1" ht="42" customHeight="1">
      <c r="A28" s="117"/>
      <c r="B28" s="129"/>
      <c r="C28" s="121"/>
      <c r="D28" s="117"/>
      <c r="E28" s="117"/>
      <c r="F28" s="117"/>
      <c r="G28" s="117"/>
      <c r="H28" s="117"/>
      <c r="I28" s="117"/>
      <c r="J28" s="117"/>
      <c r="K28" s="117"/>
      <c r="L28" s="117"/>
      <c r="M28" s="117"/>
      <c r="N28" s="117"/>
      <c r="O28" s="117"/>
      <c r="P28" s="117"/>
      <c r="Q28" s="117"/>
      <c r="R28" s="117"/>
      <c r="S28" s="117"/>
      <c r="T28" s="117"/>
      <c r="U28" s="117"/>
      <c r="V28" s="117"/>
      <c r="W28" s="117"/>
      <c r="X28" s="117"/>
    </row>
    <row r="29" spans="1:24" s="131" customFormat="1" ht="42" customHeight="1">
      <c r="A29" s="117"/>
      <c r="B29" s="129"/>
      <c r="C29" s="121"/>
      <c r="D29" s="117"/>
      <c r="E29" s="117"/>
      <c r="F29" s="117"/>
      <c r="G29" s="117"/>
      <c r="H29" s="117"/>
      <c r="I29" s="117"/>
      <c r="J29" s="117"/>
      <c r="K29" s="117"/>
      <c r="L29" s="117"/>
      <c r="M29" s="117"/>
      <c r="N29" s="117"/>
      <c r="O29" s="117"/>
      <c r="P29" s="117"/>
      <c r="Q29" s="117"/>
      <c r="R29" s="117"/>
      <c r="S29" s="117"/>
      <c r="T29" s="117"/>
      <c r="U29" s="117"/>
      <c r="V29" s="117"/>
      <c r="W29" s="117"/>
      <c r="X29" s="117"/>
    </row>
    <row r="30" spans="1:24" s="131" customFormat="1" ht="42" customHeight="1">
      <c r="A30" s="117"/>
      <c r="B30" s="129"/>
      <c r="C30" s="121"/>
      <c r="D30" s="117"/>
      <c r="E30" s="117"/>
      <c r="F30" s="117"/>
      <c r="G30" s="117"/>
      <c r="H30" s="117"/>
      <c r="I30" s="117"/>
      <c r="J30" s="117"/>
      <c r="K30" s="117"/>
      <c r="L30" s="117"/>
      <c r="M30" s="117"/>
      <c r="N30" s="117"/>
      <c r="O30" s="117"/>
      <c r="P30" s="117"/>
      <c r="Q30" s="117"/>
      <c r="R30" s="117"/>
      <c r="S30" s="117"/>
      <c r="T30" s="117"/>
      <c r="U30" s="117"/>
      <c r="V30" s="117"/>
      <c r="W30" s="117"/>
      <c r="X30" s="117"/>
    </row>
    <row r="31" spans="1:24" s="131" customFormat="1" ht="42" customHeight="1">
      <c r="A31" s="117"/>
      <c r="B31" s="129"/>
      <c r="C31" s="121"/>
      <c r="D31" s="117"/>
      <c r="E31" s="117"/>
      <c r="F31" s="117"/>
      <c r="G31" s="117"/>
      <c r="H31" s="117"/>
      <c r="I31" s="117"/>
      <c r="J31" s="117"/>
      <c r="K31" s="117"/>
      <c r="L31" s="117"/>
      <c r="M31" s="117"/>
      <c r="N31" s="117"/>
      <c r="O31" s="117"/>
      <c r="P31" s="117"/>
      <c r="Q31" s="117"/>
      <c r="R31" s="117"/>
      <c r="S31" s="117"/>
      <c r="T31" s="117"/>
      <c r="U31" s="117"/>
      <c r="V31" s="117"/>
      <c r="W31" s="117"/>
      <c r="X31" s="117"/>
    </row>
    <row r="32" spans="1:24" s="131" customFormat="1" ht="42" customHeight="1">
      <c r="A32" s="117"/>
      <c r="B32" s="129"/>
      <c r="C32" s="121"/>
      <c r="D32" s="117"/>
      <c r="E32" s="117"/>
      <c r="F32" s="117"/>
      <c r="G32" s="117"/>
      <c r="H32" s="117"/>
      <c r="I32" s="117"/>
      <c r="J32" s="117"/>
      <c r="K32" s="117"/>
      <c r="L32" s="117"/>
      <c r="M32" s="117"/>
      <c r="N32" s="117"/>
      <c r="O32" s="117"/>
      <c r="P32" s="117"/>
      <c r="Q32" s="117"/>
      <c r="R32" s="117"/>
      <c r="S32" s="117"/>
      <c r="T32" s="117"/>
      <c r="U32" s="117"/>
      <c r="V32" s="117"/>
      <c r="W32" s="117"/>
      <c r="X32" s="117"/>
    </row>
    <row r="33" spans="1:40" s="134" customFormat="1" ht="42" customHeight="1">
      <c r="A33" s="121" t="s">
        <v>375</v>
      </c>
      <c r="B33" s="121"/>
      <c r="C33" s="121"/>
      <c r="D33" s="121"/>
      <c r="E33" s="121"/>
      <c r="F33" s="121"/>
      <c r="G33" s="121"/>
      <c r="H33" s="121"/>
      <c r="I33" s="121"/>
      <c r="J33" s="121"/>
      <c r="K33" s="121"/>
      <c r="L33" s="121"/>
      <c r="M33" s="121"/>
      <c r="N33" s="121"/>
      <c r="O33" s="121"/>
      <c r="P33" s="121"/>
      <c r="Q33" s="121"/>
      <c r="R33" s="121"/>
      <c r="S33" s="121"/>
      <c r="T33" s="121"/>
      <c r="U33" s="121"/>
      <c r="V33" s="121"/>
      <c r="W33" s="121"/>
      <c r="X33" s="121"/>
    </row>
    <row r="34" spans="1:40" s="130" customFormat="1" ht="42" customHeight="1">
      <c r="A34" s="121"/>
      <c r="B34" s="140" t="s">
        <v>89</v>
      </c>
      <c r="C34" s="121" t="s">
        <v>103</v>
      </c>
      <c r="D34" s="121"/>
      <c r="E34" s="121"/>
      <c r="F34" s="121"/>
      <c r="G34" s="121"/>
      <c r="H34" s="121"/>
      <c r="I34" s="121"/>
      <c r="J34" s="121"/>
      <c r="K34" s="121"/>
      <c r="L34" s="121"/>
      <c r="M34" s="121"/>
      <c r="N34" s="121"/>
      <c r="O34" s="121"/>
      <c r="P34" s="121"/>
      <c r="Q34" s="121"/>
      <c r="R34" s="121"/>
      <c r="S34" s="121"/>
      <c r="T34" s="121"/>
      <c r="U34" s="121"/>
      <c r="V34" s="121"/>
      <c r="W34" s="121"/>
      <c r="X34" s="121"/>
    </row>
    <row r="35" spans="1:40" s="130" customFormat="1" ht="42" customHeight="1">
      <c r="A35" s="121"/>
      <c r="B35" s="140"/>
      <c r="C35" s="121"/>
      <c r="D35" s="123" t="s">
        <v>351</v>
      </c>
      <c r="E35" s="121"/>
      <c r="F35" s="121"/>
      <c r="G35" s="121"/>
      <c r="H35" s="121"/>
      <c r="I35" s="121"/>
      <c r="J35" s="121"/>
      <c r="K35" s="121"/>
      <c r="L35" s="121"/>
      <c r="M35" s="121"/>
      <c r="N35" s="121"/>
      <c r="O35" s="121"/>
      <c r="P35" s="121"/>
      <c r="Q35" s="121"/>
      <c r="R35" s="121"/>
      <c r="S35" s="121"/>
      <c r="T35" s="121"/>
      <c r="U35" s="121"/>
      <c r="V35" s="121"/>
      <c r="W35" s="121"/>
      <c r="X35" s="121"/>
    </row>
    <row r="36" spans="1:40" s="125" customFormat="1" ht="42" customHeight="1">
      <c r="A36" s="123"/>
      <c r="B36" s="124"/>
      <c r="C36" s="123"/>
      <c r="D36" s="123" t="s">
        <v>104</v>
      </c>
      <c r="E36" s="123"/>
      <c r="F36" s="123"/>
      <c r="G36" s="123"/>
      <c r="H36" s="123"/>
      <c r="I36" s="123"/>
      <c r="J36" s="123"/>
      <c r="K36" s="123"/>
      <c r="L36" s="123"/>
      <c r="M36" s="123"/>
      <c r="N36" s="123"/>
      <c r="O36" s="123"/>
      <c r="P36" s="123"/>
      <c r="Q36" s="123"/>
      <c r="R36" s="123"/>
      <c r="S36" s="123"/>
      <c r="T36" s="123"/>
      <c r="U36" s="123"/>
      <c r="V36" s="123"/>
      <c r="W36" s="123"/>
      <c r="X36" s="123"/>
    </row>
    <row r="37" spans="1:40" s="131" customFormat="1" ht="42" customHeight="1">
      <c r="A37" s="117"/>
      <c r="B37" s="135"/>
      <c r="C37" s="163"/>
      <c r="D37" s="146"/>
      <c r="E37" s="290" t="s">
        <v>73</v>
      </c>
      <c r="F37" s="290"/>
      <c r="G37" s="142"/>
      <c r="H37" s="143" t="s">
        <v>10</v>
      </c>
      <c r="I37" s="142" t="s">
        <v>11</v>
      </c>
      <c r="J37" s="144" t="s">
        <v>74</v>
      </c>
      <c r="K37" s="145"/>
      <c r="L37" s="145"/>
      <c r="M37" s="146"/>
      <c r="N37" s="146"/>
      <c r="O37" s="146"/>
      <c r="P37" s="146"/>
      <c r="Q37" s="146"/>
      <c r="R37" s="146"/>
      <c r="S37" s="146"/>
      <c r="T37" s="146"/>
      <c r="U37" s="146"/>
      <c r="V37" s="146"/>
      <c r="W37" s="146"/>
      <c r="X37" s="147"/>
    </row>
    <row r="38" spans="1:40" s="131" customFormat="1" ht="42" customHeight="1">
      <c r="A38" s="117"/>
      <c r="B38" s="135"/>
      <c r="C38" s="164"/>
      <c r="D38" s="151"/>
      <c r="E38" s="294" t="s">
        <v>46</v>
      </c>
      <c r="F38" s="294"/>
      <c r="G38" s="148"/>
      <c r="H38" s="137" t="s">
        <v>18</v>
      </c>
      <c r="I38" s="148" t="s">
        <v>11</v>
      </c>
      <c r="J38" s="149" t="s">
        <v>353</v>
      </c>
      <c r="K38" s="150"/>
      <c r="L38" s="150"/>
      <c r="M38" s="151"/>
      <c r="N38" s="151"/>
      <c r="O38" s="151"/>
      <c r="P38" s="151"/>
      <c r="Q38" s="151"/>
      <c r="R38" s="151"/>
      <c r="S38" s="151"/>
      <c r="T38" s="471"/>
      <c r="U38" s="471"/>
      <c r="V38" s="471"/>
      <c r="W38" s="471"/>
      <c r="X38" s="472"/>
    </row>
    <row r="39" spans="1:40" s="131" customFormat="1" ht="42" customHeight="1">
      <c r="A39" s="117"/>
      <c r="B39" s="135"/>
      <c r="C39" s="164"/>
      <c r="D39" s="151"/>
      <c r="E39" s="296"/>
      <c r="F39" s="296"/>
      <c r="G39" s="297"/>
      <c r="H39" s="137"/>
      <c r="I39" s="148"/>
      <c r="J39" s="149" t="s">
        <v>352</v>
      </c>
      <c r="K39" s="150"/>
      <c r="L39" s="150"/>
      <c r="M39" s="151"/>
      <c r="N39" s="151"/>
      <c r="O39" s="151"/>
      <c r="P39" s="151"/>
      <c r="Q39" s="151"/>
      <c r="R39" s="151"/>
      <c r="S39" s="151"/>
      <c r="T39" s="471"/>
      <c r="U39" s="471"/>
      <c r="V39" s="471"/>
      <c r="W39" s="471"/>
      <c r="X39" s="472"/>
    </row>
    <row r="40" spans="1:40" s="131" customFormat="1" ht="42" customHeight="1">
      <c r="A40" s="117"/>
      <c r="B40" s="135"/>
      <c r="C40" s="164"/>
      <c r="D40" s="151"/>
      <c r="E40" s="294" t="s">
        <v>76</v>
      </c>
      <c r="F40" s="294"/>
      <c r="G40" s="148"/>
      <c r="H40" s="137" t="s">
        <v>31</v>
      </c>
      <c r="I40" s="148" t="s">
        <v>11</v>
      </c>
      <c r="J40" s="149" t="s">
        <v>75</v>
      </c>
      <c r="K40" s="150"/>
      <c r="L40" s="150"/>
      <c r="M40" s="151"/>
      <c r="N40" s="151"/>
      <c r="O40" s="151"/>
      <c r="P40" s="151"/>
      <c r="Q40" s="151"/>
      <c r="R40" s="151"/>
      <c r="S40" s="151"/>
      <c r="T40" s="151"/>
      <c r="U40" s="151"/>
      <c r="V40" s="151"/>
      <c r="W40" s="292"/>
      <c r="X40" s="293"/>
    </row>
    <row r="41" spans="1:40" s="131" customFormat="1" ht="42" customHeight="1">
      <c r="A41" s="117"/>
      <c r="B41" s="135"/>
      <c r="C41" s="164"/>
      <c r="D41" s="151"/>
      <c r="E41" s="294" t="s">
        <v>77</v>
      </c>
      <c r="F41" s="294"/>
      <c r="G41" s="148"/>
      <c r="H41" s="137" t="s">
        <v>65</v>
      </c>
      <c r="I41" s="148" t="s">
        <v>11</v>
      </c>
      <c r="J41" s="149" t="s">
        <v>86</v>
      </c>
      <c r="K41" s="150"/>
      <c r="L41" s="150"/>
      <c r="M41" s="151"/>
      <c r="N41" s="151"/>
      <c r="O41" s="151"/>
      <c r="P41" s="151"/>
      <c r="Q41" s="151"/>
      <c r="R41" s="151"/>
      <c r="S41" s="151"/>
      <c r="T41" s="152"/>
      <c r="U41" s="151"/>
      <c r="V41" s="153"/>
      <c r="W41" s="292"/>
      <c r="X41" s="293"/>
    </row>
    <row r="42" spans="1:40" s="131" customFormat="1" ht="42" customHeight="1">
      <c r="A42" s="117"/>
      <c r="B42" s="135"/>
      <c r="C42" s="164"/>
      <c r="D42" s="151"/>
      <c r="E42" s="294" t="s">
        <v>49</v>
      </c>
      <c r="F42" s="294"/>
      <c r="G42" s="148"/>
      <c r="H42" s="137" t="s">
        <v>33</v>
      </c>
      <c r="I42" s="148" t="s">
        <v>11</v>
      </c>
      <c r="J42" s="149" t="s">
        <v>88</v>
      </c>
      <c r="K42" s="150"/>
      <c r="L42" s="150"/>
      <c r="M42" s="151"/>
      <c r="N42" s="151"/>
      <c r="O42" s="151"/>
      <c r="P42" s="151"/>
      <c r="Q42" s="151" t="s">
        <v>66</v>
      </c>
      <c r="R42" s="151"/>
      <c r="S42" s="151"/>
      <c r="T42" s="151"/>
      <c r="U42" s="151"/>
      <c r="V42" s="151"/>
      <c r="W42" s="292"/>
      <c r="X42" s="293"/>
      <c r="Y42" s="298"/>
      <c r="Z42" s="298"/>
      <c r="AA42" s="136"/>
      <c r="AB42" s="169"/>
      <c r="AC42" s="136"/>
      <c r="AD42" s="117"/>
      <c r="AE42" s="138"/>
      <c r="AF42" s="138"/>
      <c r="AG42" s="117"/>
      <c r="AH42" s="117"/>
      <c r="AI42" s="117"/>
      <c r="AJ42" s="117"/>
      <c r="AK42" s="117"/>
      <c r="AL42" s="117"/>
      <c r="AM42" s="117"/>
      <c r="AN42" s="117"/>
    </row>
    <row r="43" spans="1:40" s="131" customFormat="1" ht="42" customHeight="1">
      <c r="A43" s="117"/>
      <c r="B43" s="135"/>
      <c r="C43" s="164"/>
      <c r="D43" s="151"/>
      <c r="E43" s="294" t="s">
        <v>64</v>
      </c>
      <c r="F43" s="294"/>
      <c r="G43" s="148"/>
      <c r="H43" s="137" t="s">
        <v>35</v>
      </c>
      <c r="I43" s="148" t="s">
        <v>11</v>
      </c>
      <c r="J43" s="149" t="s">
        <v>87</v>
      </c>
      <c r="K43" s="150"/>
      <c r="L43" s="150"/>
      <c r="M43" s="151"/>
      <c r="N43" s="151"/>
      <c r="O43" s="154"/>
      <c r="P43" s="154"/>
      <c r="Q43" s="154"/>
      <c r="R43" s="151"/>
      <c r="S43" s="151"/>
      <c r="T43" s="151"/>
      <c r="U43" s="151"/>
      <c r="V43" s="151"/>
      <c r="W43" s="151"/>
      <c r="X43" s="155"/>
    </row>
    <row r="44" spans="1:40" s="131" customFormat="1" ht="42" customHeight="1">
      <c r="A44" s="117"/>
      <c r="B44" s="135"/>
      <c r="C44" s="165"/>
      <c r="D44" s="160"/>
      <c r="E44" s="291" t="s">
        <v>63</v>
      </c>
      <c r="F44" s="291"/>
      <c r="G44" s="156"/>
      <c r="H44" s="157" t="s">
        <v>17</v>
      </c>
      <c r="I44" s="156" t="s">
        <v>11</v>
      </c>
      <c r="J44" s="158" t="s">
        <v>62</v>
      </c>
      <c r="K44" s="159"/>
      <c r="L44" s="159"/>
      <c r="M44" s="160"/>
      <c r="N44" s="160"/>
      <c r="O44" s="161"/>
      <c r="P44" s="161"/>
      <c r="Q44" s="161"/>
      <c r="R44" s="160"/>
      <c r="S44" s="160"/>
      <c r="T44" s="160"/>
      <c r="U44" s="160"/>
      <c r="V44" s="160"/>
      <c r="W44" s="160"/>
      <c r="X44" s="162"/>
    </row>
    <row r="45" spans="1:40" s="131" customFormat="1" ht="42" customHeight="1">
      <c r="A45" s="117"/>
      <c r="B45" s="140" t="s">
        <v>90</v>
      </c>
      <c r="C45" s="121" t="s">
        <v>384</v>
      </c>
      <c r="D45" s="117"/>
      <c r="E45" s="117"/>
      <c r="F45" s="117"/>
      <c r="G45" s="117"/>
      <c r="H45" s="117"/>
      <c r="I45" s="117"/>
      <c r="J45" s="117"/>
      <c r="K45" s="117"/>
      <c r="L45" s="117"/>
      <c r="M45" s="117"/>
      <c r="N45" s="117"/>
      <c r="O45" s="117"/>
      <c r="P45" s="117"/>
      <c r="Q45" s="117"/>
      <c r="R45" s="117"/>
      <c r="S45" s="117"/>
      <c r="T45" s="117"/>
      <c r="U45" s="117"/>
      <c r="V45" s="117"/>
      <c r="W45" s="117"/>
      <c r="X45" s="117"/>
    </row>
    <row r="46" spans="1:40" s="131" customFormat="1" ht="42" customHeight="1">
      <c r="A46" s="117"/>
      <c r="B46" s="140" t="s">
        <v>91</v>
      </c>
      <c r="C46" s="121" t="s">
        <v>356</v>
      </c>
      <c r="D46" s="117"/>
      <c r="E46" s="117"/>
      <c r="F46" s="117"/>
      <c r="G46" s="117"/>
      <c r="H46" s="117"/>
      <c r="I46" s="117"/>
      <c r="J46" s="117"/>
      <c r="K46" s="117"/>
      <c r="L46" s="117"/>
      <c r="M46" s="117"/>
      <c r="N46" s="117"/>
      <c r="O46" s="117"/>
      <c r="P46" s="117"/>
      <c r="Q46" s="117"/>
      <c r="R46" s="117"/>
      <c r="S46" s="117"/>
      <c r="T46" s="117"/>
      <c r="U46" s="117"/>
      <c r="V46" s="117"/>
      <c r="W46" s="117"/>
      <c r="X46" s="117"/>
    </row>
    <row r="47" spans="1:40" s="131" customFormat="1" ht="42" customHeight="1">
      <c r="A47" s="117"/>
      <c r="B47" s="140" t="s">
        <v>357</v>
      </c>
      <c r="C47" s="121" t="s">
        <v>354</v>
      </c>
      <c r="D47" s="117"/>
      <c r="E47" s="117"/>
      <c r="F47" s="117"/>
      <c r="G47" s="117"/>
      <c r="H47" s="117"/>
      <c r="I47" s="117"/>
      <c r="J47" s="117"/>
      <c r="K47" s="117"/>
      <c r="L47" s="117"/>
      <c r="M47" s="117"/>
      <c r="N47" s="117"/>
      <c r="O47" s="117"/>
      <c r="P47" s="117"/>
      <c r="Q47" s="117"/>
      <c r="R47" s="117"/>
      <c r="S47" s="117"/>
      <c r="T47" s="117"/>
      <c r="U47" s="117"/>
      <c r="V47" s="117"/>
      <c r="W47" s="117"/>
      <c r="X47" s="117"/>
    </row>
    <row r="48" spans="1:40" s="131" customFormat="1" ht="42" customHeight="1">
      <c r="A48" s="117"/>
      <c r="B48" s="140"/>
      <c r="C48" s="117"/>
      <c r="D48" s="117"/>
      <c r="E48" s="117"/>
      <c r="F48" s="117"/>
      <c r="G48" s="117"/>
      <c r="H48" s="117"/>
      <c r="I48" s="117"/>
      <c r="J48" s="117"/>
      <c r="K48" s="117"/>
      <c r="L48" s="117"/>
      <c r="M48" s="117"/>
      <c r="N48" s="117"/>
      <c r="O48" s="117"/>
      <c r="P48" s="117"/>
      <c r="Q48" s="117"/>
      <c r="R48" s="117"/>
      <c r="S48" s="117"/>
      <c r="T48" s="117"/>
      <c r="U48" s="117"/>
      <c r="V48" s="117"/>
      <c r="W48" s="117"/>
      <c r="X48" s="117"/>
    </row>
    <row r="49" spans="1:24" s="131" customFormat="1" ht="42" customHeight="1">
      <c r="A49" s="117"/>
      <c r="B49" s="140"/>
      <c r="C49" s="117"/>
      <c r="D49" s="117"/>
      <c r="E49" s="117"/>
      <c r="F49" s="117"/>
      <c r="G49" s="117"/>
      <c r="H49" s="117"/>
      <c r="I49" s="117"/>
      <c r="J49" s="117"/>
      <c r="K49" s="117"/>
      <c r="L49" s="117"/>
      <c r="M49" s="117"/>
      <c r="N49" s="117"/>
      <c r="O49" s="117"/>
      <c r="P49" s="117"/>
      <c r="Q49" s="117"/>
      <c r="R49" s="117"/>
      <c r="S49" s="117"/>
      <c r="T49" s="117"/>
      <c r="U49" s="117"/>
      <c r="V49" s="117"/>
      <c r="W49" s="117"/>
      <c r="X49" s="117"/>
    </row>
    <row r="50" spans="1:24" s="131" customFormat="1" ht="42" customHeight="1">
      <c r="A50" s="117"/>
      <c r="B50" s="140"/>
      <c r="C50" s="117"/>
      <c r="D50" s="117"/>
      <c r="E50" s="117"/>
      <c r="F50" s="117"/>
      <c r="G50" s="117"/>
      <c r="H50" s="117"/>
      <c r="I50" s="117"/>
      <c r="J50" s="117"/>
      <c r="K50" s="117"/>
      <c r="L50" s="117"/>
      <c r="M50" s="117"/>
      <c r="N50" s="117"/>
      <c r="O50" s="117"/>
      <c r="P50" s="117"/>
      <c r="Q50" s="117"/>
      <c r="R50" s="117"/>
      <c r="S50" s="117"/>
      <c r="T50" s="117"/>
      <c r="U50" s="117"/>
      <c r="V50" s="117"/>
      <c r="W50" s="117"/>
      <c r="X50" s="117"/>
    </row>
    <row r="51" spans="1:24" s="131" customFormat="1" ht="42" customHeight="1">
      <c r="A51" s="117"/>
      <c r="B51" s="140"/>
      <c r="C51" s="117"/>
      <c r="D51" s="117"/>
      <c r="E51" s="117"/>
      <c r="F51" s="117"/>
      <c r="G51" s="117"/>
      <c r="H51" s="117"/>
      <c r="I51" s="117"/>
      <c r="J51" s="117"/>
      <c r="K51" s="117"/>
      <c r="L51" s="117"/>
      <c r="M51" s="117"/>
      <c r="N51" s="117"/>
      <c r="O51" s="117"/>
      <c r="P51" s="117"/>
      <c r="Q51" s="117"/>
      <c r="R51" s="117"/>
      <c r="S51" s="117"/>
      <c r="T51" s="117"/>
      <c r="U51" s="117"/>
      <c r="V51" s="117"/>
      <c r="W51" s="117"/>
      <c r="X51" s="117"/>
    </row>
    <row r="52" spans="1:24" s="131" customFormat="1" ht="42" customHeight="1">
      <c r="A52" s="117"/>
      <c r="B52" s="140"/>
      <c r="C52" s="117"/>
      <c r="D52" s="117"/>
      <c r="E52" s="117"/>
      <c r="F52" s="117"/>
      <c r="G52" s="117"/>
      <c r="H52" s="117"/>
      <c r="I52" s="117"/>
      <c r="J52" s="117"/>
      <c r="K52" s="117"/>
      <c r="L52" s="117"/>
      <c r="M52" s="117"/>
      <c r="N52" s="117"/>
      <c r="O52" s="117"/>
      <c r="P52" s="117"/>
      <c r="Q52" s="117"/>
      <c r="R52" s="117"/>
      <c r="S52" s="117"/>
      <c r="T52" s="117"/>
      <c r="U52" s="117"/>
      <c r="V52" s="117"/>
      <c r="W52" s="117"/>
      <c r="X52" s="117"/>
    </row>
    <row r="53" spans="1:24" s="131" customFormat="1" ht="42" customHeight="1">
      <c r="A53" s="117"/>
      <c r="B53" s="140"/>
      <c r="C53" s="117"/>
      <c r="D53" s="117"/>
      <c r="E53" s="117"/>
      <c r="F53" s="117"/>
      <c r="G53" s="117"/>
      <c r="H53" s="117"/>
      <c r="I53" s="117"/>
      <c r="J53" s="117"/>
      <c r="K53" s="117"/>
      <c r="L53" s="117"/>
      <c r="M53" s="117"/>
      <c r="N53" s="117"/>
      <c r="O53" s="117"/>
      <c r="P53" s="117"/>
      <c r="Q53" s="117"/>
      <c r="R53" s="117"/>
      <c r="S53" s="117"/>
      <c r="T53" s="117"/>
      <c r="U53" s="117"/>
      <c r="V53" s="117"/>
      <c r="W53" s="117"/>
      <c r="X53" s="117"/>
    </row>
    <row r="54" spans="1:24" s="131" customFormat="1" ht="42" customHeight="1">
      <c r="A54" s="117"/>
      <c r="B54" s="140"/>
      <c r="C54" s="117"/>
      <c r="D54" s="117"/>
      <c r="E54" s="117"/>
      <c r="F54" s="117"/>
      <c r="G54" s="117"/>
      <c r="H54" s="117"/>
      <c r="I54" s="117"/>
      <c r="J54" s="117"/>
      <c r="K54" s="117"/>
      <c r="L54" s="117"/>
      <c r="M54" s="117"/>
      <c r="N54" s="117"/>
      <c r="O54" s="117"/>
      <c r="P54" s="117"/>
      <c r="Q54" s="117"/>
      <c r="R54" s="117"/>
      <c r="S54" s="117"/>
      <c r="T54" s="117"/>
      <c r="U54" s="117"/>
      <c r="V54" s="117"/>
      <c r="W54" s="117"/>
      <c r="X54" s="117"/>
    </row>
    <row r="55" spans="1:24" s="131" customFormat="1" ht="42" customHeight="1">
      <c r="A55" s="117"/>
      <c r="B55" s="140"/>
      <c r="C55" s="117"/>
      <c r="D55" s="117"/>
      <c r="E55" s="117"/>
      <c r="F55" s="117"/>
      <c r="G55" s="117"/>
      <c r="H55" s="117"/>
      <c r="I55" s="117"/>
      <c r="J55" s="117"/>
      <c r="K55" s="117"/>
      <c r="L55" s="117"/>
      <c r="M55" s="117"/>
      <c r="N55" s="117"/>
      <c r="O55" s="117"/>
      <c r="P55" s="117"/>
      <c r="Q55" s="117"/>
      <c r="R55" s="117"/>
      <c r="S55" s="117"/>
      <c r="T55" s="117"/>
      <c r="U55" s="117"/>
      <c r="V55" s="117"/>
      <c r="W55" s="117"/>
      <c r="X55" s="117"/>
    </row>
    <row r="56" spans="1:24" s="131" customFormat="1" ht="42" customHeight="1">
      <c r="A56" s="117"/>
      <c r="B56" s="140"/>
      <c r="C56" s="117"/>
      <c r="D56" s="117"/>
      <c r="E56" s="117"/>
      <c r="F56" s="117"/>
      <c r="G56" s="117"/>
      <c r="H56" s="117"/>
      <c r="I56" s="117"/>
      <c r="J56" s="117"/>
      <c r="K56" s="117"/>
      <c r="L56" s="117"/>
      <c r="M56" s="117"/>
      <c r="N56" s="117"/>
      <c r="O56" s="117"/>
      <c r="P56" s="117"/>
      <c r="Q56" s="117"/>
      <c r="R56" s="117"/>
      <c r="S56" s="117"/>
      <c r="T56" s="117"/>
      <c r="U56" s="117"/>
      <c r="V56" s="117"/>
      <c r="W56" s="117"/>
      <c r="X56" s="117"/>
    </row>
    <row r="57" spans="1:24" s="131" customFormat="1" ht="42" customHeight="1">
      <c r="A57" s="117"/>
      <c r="B57" s="140"/>
      <c r="C57" s="117"/>
      <c r="D57" s="117"/>
      <c r="E57" s="117"/>
      <c r="F57" s="117"/>
      <c r="G57" s="117"/>
      <c r="H57" s="117"/>
      <c r="I57" s="117"/>
      <c r="J57" s="117"/>
      <c r="K57" s="117"/>
      <c r="L57" s="117"/>
      <c r="M57" s="117"/>
      <c r="N57" s="117"/>
      <c r="O57" s="117"/>
      <c r="P57" s="117"/>
      <c r="Q57" s="117"/>
      <c r="R57" s="117"/>
      <c r="S57" s="117"/>
      <c r="T57" s="117"/>
      <c r="U57" s="117"/>
      <c r="V57" s="117"/>
      <c r="W57" s="117"/>
      <c r="X57" s="117"/>
    </row>
    <row r="58" spans="1:24" s="131" customFormat="1" ht="42" customHeight="1">
      <c r="A58" s="117"/>
      <c r="B58" s="129"/>
      <c r="C58" s="117"/>
      <c r="D58" s="117"/>
      <c r="E58" s="117"/>
      <c r="F58" s="117"/>
      <c r="G58" s="117"/>
      <c r="H58" s="117"/>
      <c r="I58" s="117"/>
      <c r="J58" s="117"/>
      <c r="K58" s="117"/>
      <c r="L58" s="117"/>
      <c r="M58" s="117"/>
      <c r="N58" s="117"/>
      <c r="O58" s="117"/>
      <c r="P58" s="117"/>
      <c r="Q58" s="117"/>
      <c r="R58" s="117"/>
      <c r="S58" s="117"/>
      <c r="T58" s="117"/>
      <c r="U58" s="117"/>
      <c r="V58" s="117"/>
      <c r="W58" s="117"/>
      <c r="X58" s="117"/>
    </row>
    <row r="59" spans="1:24" s="131" customFormat="1" ht="42" customHeight="1">
      <c r="A59" s="117"/>
      <c r="B59" s="129"/>
      <c r="C59" s="117"/>
      <c r="D59" s="117"/>
      <c r="E59" s="117"/>
      <c r="F59" s="117"/>
      <c r="G59" s="117"/>
      <c r="H59" s="117"/>
      <c r="I59" s="117"/>
      <c r="J59" s="117"/>
      <c r="K59" s="117"/>
      <c r="L59" s="117"/>
      <c r="M59" s="117"/>
      <c r="N59" s="117"/>
      <c r="O59" s="117"/>
      <c r="P59" s="117"/>
      <c r="Q59" s="117"/>
      <c r="R59" s="117"/>
      <c r="S59" s="117"/>
      <c r="T59" s="117"/>
      <c r="U59" s="117"/>
      <c r="V59" s="117"/>
      <c r="W59" s="117"/>
      <c r="X59" s="117"/>
    </row>
    <row r="60" spans="1:24" s="131" customFormat="1" ht="33">
      <c r="A60" s="117"/>
      <c r="B60" s="129"/>
      <c r="C60" s="117"/>
      <c r="D60" s="117"/>
      <c r="E60" s="117"/>
      <c r="F60" s="117"/>
      <c r="G60" s="117"/>
      <c r="H60" s="117"/>
      <c r="I60" s="117"/>
      <c r="J60" s="117"/>
      <c r="K60" s="117"/>
      <c r="L60" s="117"/>
      <c r="M60" s="117"/>
      <c r="N60" s="117"/>
      <c r="O60" s="117"/>
      <c r="P60" s="117"/>
      <c r="Q60" s="117"/>
      <c r="R60" s="117"/>
      <c r="S60" s="117"/>
      <c r="T60" s="117"/>
      <c r="U60" s="117"/>
      <c r="V60" s="117"/>
      <c r="W60" s="117"/>
      <c r="X60" s="117"/>
    </row>
    <row r="61" spans="1:24" s="134" customFormat="1" ht="42" customHeight="1">
      <c r="A61" s="121" t="s">
        <v>376</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row>
    <row r="62" spans="1:24" s="131" customFormat="1" ht="42" customHeight="1">
      <c r="A62" s="117"/>
      <c r="B62" s="140" t="s">
        <v>94</v>
      </c>
      <c r="C62" s="121" t="s">
        <v>93</v>
      </c>
      <c r="D62" s="117"/>
      <c r="E62" s="117"/>
      <c r="F62" s="117"/>
      <c r="G62" s="117"/>
      <c r="H62" s="117"/>
      <c r="I62" s="117"/>
      <c r="J62" s="117"/>
      <c r="K62" s="117"/>
      <c r="L62" s="117"/>
      <c r="M62" s="117"/>
      <c r="N62" s="117"/>
      <c r="O62" s="117"/>
      <c r="P62" s="117"/>
      <c r="Q62" s="117"/>
      <c r="R62" s="117"/>
      <c r="S62" s="117"/>
      <c r="T62" s="117"/>
      <c r="U62" s="117"/>
      <c r="V62" s="117"/>
      <c r="W62" s="117"/>
      <c r="X62" s="117"/>
    </row>
    <row r="63" spans="1:24" s="131" customFormat="1" ht="42" customHeight="1">
      <c r="A63" s="117"/>
      <c r="B63" s="166"/>
      <c r="C63" s="117"/>
      <c r="D63" s="123" t="s">
        <v>61</v>
      </c>
      <c r="E63" s="117"/>
      <c r="F63" s="117"/>
      <c r="G63" s="117"/>
      <c r="H63" s="117"/>
      <c r="I63" s="117"/>
      <c r="J63" s="117"/>
      <c r="K63" s="117"/>
      <c r="L63" s="117"/>
      <c r="M63" s="117"/>
      <c r="N63" s="117"/>
      <c r="O63" s="117"/>
      <c r="P63" s="117"/>
      <c r="Q63" s="117"/>
      <c r="R63" s="117"/>
      <c r="S63" s="117"/>
      <c r="T63" s="117"/>
      <c r="U63" s="117"/>
      <c r="V63" s="117"/>
      <c r="W63" s="117"/>
      <c r="X63" s="117"/>
    </row>
    <row r="64" spans="1:24" s="131" customFormat="1" ht="42" customHeight="1">
      <c r="A64" s="117"/>
      <c r="B64" s="140" t="s">
        <v>95</v>
      </c>
      <c r="C64" s="121" t="s">
        <v>355</v>
      </c>
      <c r="D64" s="117"/>
      <c r="E64" s="117"/>
      <c r="F64" s="117"/>
      <c r="G64" s="117"/>
      <c r="H64" s="117"/>
      <c r="I64" s="117"/>
      <c r="J64" s="117"/>
      <c r="K64" s="117"/>
      <c r="L64" s="117"/>
      <c r="M64" s="117"/>
      <c r="N64" s="117"/>
      <c r="O64" s="117"/>
      <c r="P64" s="117"/>
      <c r="Q64" s="117"/>
      <c r="R64" s="117"/>
      <c r="S64" s="117"/>
      <c r="T64" s="117"/>
      <c r="U64" s="117"/>
      <c r="V64" s="117"/>
      <c r="W64" s="117"/>
      <c r="X64" s="117"/>
    </row>
    <row r="65" spans="1:24" s="131" customFormat="1" ht="42" customHeight="1">
      <c r="A65" s="117"/>
      <c r="B65" s="140" t="s">
        <v>96</v>
      </c>
      <c r="C65" s="121" t="s">
        <v>358</v>
      </c>
      <c r="D65" s="117"/>
      <c r="E65" s="117"/>
      <c r="F65" s="117"/>
      <c r="G65" s="117"/>
      <c r="H65" s="117"/>
      <c r="I65" s="117"/>
      <c r="J65" s="117"/>
      <c r="K65" s="117"/>
      <c r="L65" s="117"/>
      <c r="M65" s="117"/>
      <c r="N65" s="117"/>
      <c r="O65" s="117"/>
      <c r="P65" s="117"/>
      <c r="Q65" s="117"/>
      <c r="R65" s="117"/>
      <c r="S65" s="117"/>
      <c r="T65" s="117"/>
      <c r="U65" s="117"/>
      <c r="V65" s="117"/>
      <c r="W65" s="117"/>
      <c r="X65" s="117"/>
    </row>
    <row r="66" spans="1:24" s="131" customFormat="1" ht="42" customHeight="1">
      <c r="A66" s="117"/>
      <c r="B66" s="140" t="s">
        <v>97</v>
      </c>
      <c r="C66" s="121" t="s">
        <v>98</v>
      </c>
      <c r="D66" s="117"/>
      <c r="E66" s="117"/>
      <c r="F66" s="117"/>
      <c r="G66" s="117"/>
      <c r="H66" s="117"/>
      <c r="I66" s="117"/>
      <c r="J66" s="117"/>
      <c r="K66" s="117"/>
      <c r="L66" s="117"/>
      <c r="M66" s="117"/>
      <c r="N66" s="117"/>
      <c r="O66" s="117"/>
      <c r="P66" s="117"/>
      <c r="Q66" s="117"/>
      <c r="R66" s="117"/>
      <c r="S66" s="117"/>
      <c r="T66" s="117"/>
      <c r="U66" s="117"/>
      <c r="V66" s="117"/>
      <c r="W66" s="117"/>
      <c r="X66" s="117"/>
    </row>
    <row r="67" spans="1:24" s="131" customFormat="1" ht="33">
      <c r="A67" s="117"/>
      <c r="B67" s="140"/>
      <c r="C67" s="121"/>
      <c r="D67" s="117"/>
      <c r="E67" s="117"/>
      <c r="F67" s="117"/>
      <c r="G67" s="117"/>
      <c r="H67" s="117"/>
      <c r="I67" s="117"/>
      <c r="J67" s="117"/>
      <c r="K67" s="117"/>
      <c r="L67" s="117"/>
      <c r="M67" s="117"/>
      <c r="N67" s="117"/>
      <c r="O67" s="117"/>
      <c r="P67" s="117"/>
      <c r="Q67" s="117"/>
      <c r="R67" s="117"/>
      <c r="S67" s="117"/>
      <c r="T67" s="117"/>
      <c r="U67" s="117"/>
      <c r="V67" s="117"/>
      <c r="W67" s="117"/>
      <c r="X67" s="117"/>
    </row>
    <row r="68" spans="1:24" s="134" customFormat="1" ht="42" customHeight="1">
      <c r="A68" s="121" t="s">
        <v>60</v>
      </c>
      <c r="B68" s="121"/>
      <c r="C68" s="121"/>
      <c r="D68" s="121"/>
      <c r="E68" s="121"/>
      <c r="F68" s="121"/>
      <c r="G68" s="121"/>
      <c r="H68" s="121"/>
      <c r="J68" s="121"/>
      <c r="K68" s="121"/>
      <c r="L68" s="121"/>
      <c r="M68" s="121"/>
      <c r="N68" s="121"/>
      <c r="O68" s="121"/>
      <c r="P68" s="121"/>
      <c r="Q68" s="121"/>
      <c r="R68" s="121"/>
      <c r="S68" s="121"/>
      <c r="T68" s="121"/>
      <c r="U68" s="121"/>
      <c r="V68" s="121"/>
      <c r="W68" s="121"/>
      <c r="X68" s="121"/>
    </row>
    <row r="69" spans="1:24" s="130" customFormat="1" ht="42" customHeight="1">
      <c r="A69" s="121"/>
      <c r="B69" s="140" t="s">
        <v>99</v>
      </c>
      <c r="C69" s="121" t="s">
        <v>359</v>
      </c>
      <c r="D69" s="121"/>
      <c r="E69" s="121"/>
      <c r="F69" s="121"/>
      <c r="G69" s="121"/>
      <c r="H69" s="121"/>
      <c r="I69" s="121"/>
      <c r="J69" s="121"/>
      <c r="K69" s="121"/>
      <c r="L69" s="121"/>
      <c r="M69" s="121"/>
      <c r="N69" s="121"/>
      <c r="O69" s="121"/>
      <c r="P69" s="121"/>
      <c r="Q69" s="121"/>
      <c r="R69" s="121"/>
      <c r="S69" s="121"/>
      <c r="T69" s="121"/>
      <c r="U69" s="121"/>
      <c r="V69" s="121"/>
      <c r="W69" s="121"/>
      <c r="X69" s="121"/>
    </row>
    <row r="70" spans="1:24" s="130" customFormat="1" ht="42" customHeight="1">
      <c r="A70" s="121"/>
      <c r="B70" s="140" t="s">
        <v>100</v>
      </c>
      <c r="C70" s="121" t="s">
        <v>105</v>
      </c>
      <c r="D70" s="121"/>
      <c r="E70" s="121"/>
      <c r="F70" s="121"/>
      <c r="G70" s="121"/>
      <c r="H70" s="121"/>
      <c r="I70" s="121"/>
      <c r="J70" s="121"/>
      <c r="K70" s="121"/>
      <c r="L70" s="121"/>
      <c r="M70" s="121"/>
      <c r="N70" s="121"/>
      <c r="O70" s="121"/>
      <c r="P70" s="121"/>
      <c r="Q70" s="121"/>
      <c r="R70" s="121"/>
      <c r="S70" s="121"/>
      <c r="T70" s="121"/>
      <c r="U70" s="121"/>
      <c r="V70" s="121"/>
      <c r="W70" s="121"/>
      <c r="X70" s="121"/>
    </row>
    <row r="71" spans="1:24" s="125" customFormat="1" ht="42" customHeight="1">
      <c r="A71" s="123"/>
      <c r="B71" s="167"/>
      <c r="C71" s="123"/>
      <c r="D71" s="123" t="s">
        <v>106</v>
      </c>
      <c r="E71" s="123"/>
      <c r="F71" s="123"/>
      <c r="G71" s="123"/>
      <c r="H71" s="123"/>
      <c r="I71" s="123"/>
      <c r="J71" s="123"/>
      <c r="K71" s="123"/>
      <c r="L71" s="123"/>
      <c r="M71" s="123"/>
      <c r="N71" s="123"/>
      <c r="O71" s="123"/>
      <c r="P71" s="123"/>
      <c r="Q71" s="123"/>
      <c r="R71" s="123"/>
      <c r="S71" s="123"/>
      <c r="T71" s="123"/>
      <c r="U71" s="123"/>
      <c r="V71" s="123"/>
      <c r="W71" s="123"/>
      <c r="X71" s="123"/>
    </row>
    <row r="72" spans="1:24" s="125" customFormat="1" ht="42" customHeight="1">
      <c r="A72" s="123"/>
      <c r="B72" s="167"/>
      <c r="C72" s="123"/>
      <c r="D72" s="123" t="s">
        <v>360</v>
      </c>
      <c r="E72" s="123"/>
      <c r="F72" s="123"/>
      <c r="G72" s="123"/>
      <c r="H72" s="123"/>
      <c r="I72" s="123"/>
      <c r="J72" s="123"/>
      <c r="K72" s="123"/>
      <c r="L72" s="123"/>
      <c r="M72" s="123"/>
      <c r="N72" s="123"/>
      <c r="O72" s="123"/>
      <c r="P72" s="123"/>
      <c r="Q72" s="123"/>
      <c r="R72" s="123"/>
      <c r="S72" s="123"/>
      <c r="T72" s="123"/>
      <c r="U72" s="123"/>
      <c r="V72" s="123"/>
      <c r="W72" s="123"/>
      <c r="X72" s="123"/>
    </row>
    <row r="73" spans="1:24" s="125" customFormat="1" ht="42" customHeight="1">
      <c r="A73" s="123"/>
      <c r="B73" s="167"/>
      <c r="C73" s="123"/>
      <c r="D73" s="123" t="s">
        <v>389</v>
      </c>
      <c r="E73" s="123"/>
      <c r="F73" s="123"/>
      <c r="G73" s="123"/>
      <c r="H73" s="123"/>
      <c r="I73" s="123"/>
      <c r="J73" s="123"/>
      <c r="K73" s="123"/>
      <c r="L73" s="123"/>
      <c r="M73" s="123"/>
      <c r="N73" s="123"/>
      <c r="O73" s="123"/>
      <c r="P73" s="123"/>
      <c r="Q73" s="123"/>
      <c r="R73" s="123"/>
      <c r="S73" s="123"/>
      <c r="T73" s="123"/>
      <c r="U73" s="123"/>
      <c r="V73" s="123"/>
      <c r="W73" s="123"/>
      <c r="X73" s="123"/>
    </row>
    <row r="74" spans="1:24" s="125" customFormat="1" ht="42" customHeight="1">
      <c r="A74" s="123"/>
      <c r="B74" s="167" t="s">
        <v>101</v>
      </c>
      <c r="C74" s="168" t="s">
        <v>361</v>
      </c>
      <c r="D74" s="123"/>
      <c r="E74" s="123"/>
      <c r="F74" s="123"/>
      <c r="G74" s="123"/>
      <c r="H74" s="123"/>
      <c r="I74" s="123"/>
      <c r="J74" s="123"/>
      <c r="K74" s="123"/>
      <c r="L74" s="123"/>
      <c r="M74" s="123"/>
      <c r="N74" s="123"/>
      <c r="O74" s="123"/>
      <c r="P74" s="123"/>
      <c r="Q74" s="123"/>
      <c r="R74" s="123"/>
      <c r="S74" s="123"/>
      <c r="T74" s="123"/>
      <c r="U74" s="123"/>
      <c r="V74" s="123"/>
      <c r="W74" s="123"/>
      <c r="X74" s="123"/>
    </row>
    <row r="75" spans="1:24" s="125" customFormat="1" ht="42" customHeight="1">
      <c r="A75" s="123"/>
      <c r="B75" s="167"/>
      <c r="C75" s="168"/>
      <c r="D75" s="123" t="s">
        <v>362</v>
      </c>
      <c r="E75" s="123"/>
      <c r="F75" s="123"/>
      <c r="G75" s="123"/>
      <c r="H75" s="123"/>
      <c r="I75" s="123"/>
      <c r="J75" s="123"/>
      <c r="K75" s="123"/>
      <c r="L75" s="123"/>
      <c r="M75" s="123"/>
      <c r="N75" s="123"/>
      <c r="O75" s="123"/>
      <c r="P75" s="123"/>
      <c r="Q75" s="123"/>
      <c r="R75" s="123"/>
      <c r="S75" s="123"/>
      <c r="T75" s="123"/>
      <c r="U75" s="123"/>
      <c r="V75" s="123"/>
      <c r="W75" s="123"/>
      <c r="X75" s="123"/>
    </row>
    <row r="76" spans="1:24" s="125" customFormat="1" ht="42" customHeight="1">
      <c r="A76" s="123"/>
      <c r="B76" s="167"/>
      <c r="C76" s="168"/>
      <c r="D76" s="123"/>
      <c r="E76" s="123"/>
      <c r="F76" s="123"/>
      <c r="G76" s="123"/>
      <c r="H76" s="123"/>
      <c r="I76" s="123"/>
      <c r="J76" s="123"/>
      <c r="K76" s="123"/>
      <c r="L76" s="123"/>
      <c r="M76" s="123"/>
      <c r="N76" s="123"/>
      <c r="O76" s="123"/>
      <c r="P76" s="123"/>
      <c r="Q76" s="123"/>
      <c r="R76" s="123"/>
      <c r="S76" s="123"/>
      <c r="T76" s="123"/>
      <c r="U76" s="123"/>
      <c r="V76" s="123"/>
      <c r="W76" s="123"/>
      <c r="X76" s="123"/>
    </row>
    <row r="77" spans="1:24" s="125" customFormat="1" ht="42" customHeight="1">
      <c r="A77" s="123"/>
      <c r="B77" s="167"/>
      <c r="C77" s="168"/>
      <c r="D77" s="123"/>
      <c r="E77" s="123"/>
      <c r="F77" s="123"/>
      <c r="G77" s="123"/>
      <c r="H77" s="123"/>
      <c r="I77" s="123"/>
      <c r="J77" s="123"/>
      <c r="K77" s="123"/>
      <c r="L77" s="123"/>
      <c r="M77" s="123"/>
      <c r="N77" s="123"/>
      <c r="O77" s="123"/>
      <c r="P77" s="123"/>
      <c r="Q77" s="123"/>
      <c r="R77" s="123"/>
      <c r="S77" s="123"/>
      <c r="T77" s="123"/>
      <c r="U77" s="123"/>
      <c r="V77" s="123"/>
      <c r="W77" s="123"/>
      <c r="X77" s="123"/>
    </row>
    <row r="78" spans="1:24" s="125" customFormat="1" ht="42" customHeight="1">
      <c r="A78" s="123"/>
      <c r="B78" s="167"/>
      <c r="C78" s="168"/>
      <c r="D78" s="123"/>
      <c r="E78" s="123"/>
      <c r="F78" s="123"/>
      <c r="G78" s="123"/>
      <c r="H78" s="123"/>
      <c r="I78" s="123"/>
      <c r="J78" s="123"/>
      <c r="K78" s="123"/>
      <c r="L78" s="123"/>
      <c r="M78" s="123"/>
      <c r="N78" s="123"/>
      <c r="O78" s="123"/>
      <c r="P78" s="123"/>
      <c r="Q78" s="123"/>
      <c r="R78" s="123"/>
      <c r="S78" s="123"/>
      <c r="T78" s="123"/>
      <c r="U78" s="123"/>
      <c r="V78" s="123"/>
      <c r="W78" s="123"/>
      <c r="X78" s="123"/>
    </row>
    <row r="79" spans="1:24" s="125" customFormat="1" ht="42" customHeight="1">
      <c r="A79" s="123"/>
      <c r="B79" s="167"/>
      <c r="C79" s="168"/>
      <c r="D79" s="123"/>
      <c r="E79" s="123"/>
      <c r="F79" s="123"/>
      <c r="G79" s="123"/>
      <c r="H79" s="123"/>
      <c r="I79" s="123"/>
      <c r="J79" s="123"/>
      <c r="K79" s="123"/>
      <c r="L79" s="123"/>
      <c r="M79" s="123"/>
      <c r="N79" s="123"/>
      <c r="O79" s="123"/>
      <c r="P79" s="123"/>
      <c r="Q79" s="123"/>
      <c r="R79" s="123"/>
      <c r="S79" s="123"/>
      <c r="T79" s="123"/>
      <c r="U79" s="123"/>
      <c r="V79" s="123"/>
      <c r="W79" s="123"/>
      <c r="X79" s="123"/>
    </row>
    <row r="80" spans="1:24" s="125" customFormat="1" ht="42" customHeight="1">
      <c r="A80" s="123"/>
      <c r="B80" s="167"/>
      <c r="C80" s="168"/>
      <c r="D80" s="123"/>
      <c r="E80" s="123"/>
      <c r="F80" s="123"/>
      <c r="G80" s="123"/>
      <c r="H80" s="123"/>
      <c r="I80" s="123"/>
      <c r="J80" s="123"/>
      <c r="K80" s="123"/>
      <c r="L80" s="123"/>
      <c r="M80" s="123"/>
      <c r="N80" s="123"/>
      <c r="O80" s="123"/>
      <c r="P80" s="123"/>
      <c r="Q80" s="123"/>
      <c r="R80" s="123"/>
      <c r="S80" s="123"/>
      <c r="T80" s="123"/>
      <c r="U80" s="123"/>
      <c r="V80" s="123"/>
      <c r="W80" s="123"/>
      <c r="X80" s="123"/>
    </row>
    <row r="81" spans="1:24" s="125" customFormat="1" ht="42" customHeight="1">
      <c r="A81" s="123"/>
      <c r="B81" s="167"/>
      <c r="C81" s="168"/>
      <c r="D81" s="123"/>
      <c r="E81" s="123"/>
      <c r="F81" s="123"/>
      <c r="G81" s="123"/>
      <c r="H81" s="123"/>
      <c r="I81" s="123"/>
      <c r="J81" s="123"/>
      <c r="K81" s="123"/>
      <c r="L81" s="123"/>
      <c r="M81" s="123"/>
      <c r="N81" s="123"/>
      <c r="O81" s="123"/>
      <c r="P81" s="123"/>
      <c r="Q81" s="123"/>
      <c r="R81" s="123"/>
      <c r="S81" s="123"/>
      <c r="T81" s="123"/>
      <c r="U81" s="123"/>
      <c r="V81" s="123"/>
      <c r="W81" s="123"/>
      <c r="X81" s="123"/>
    </row>
    <row r="82" spans="1:24" s="125" customFormat="1" ht="35.25">
      <c r="A82" s="123"/>
      <c r="B82" s="167"/>
      <c r="C82" s="168"/>
      <c r="D82" s="123"/>
      <c r="E82" s="123"/>
      <c r="F82" s="123"/>
      <c r="G82" s="123"/>
      <c r="H82" s="123"/>
      <c r="I82" s="123"/>
      <c r="J82" s="123"/>
      <c r="K82" s="123"/>
      <c r="L82" s="123"/>
      <c r="M82" s="123"/>
      <c r="N82" s="123"/>
      <c r="O82" s="123"/>
      <c r="P82" s="123"/>
      <c r="Q82" s="123"/>
      <c r="R82" s="123"/>
      <c r="S82" s="123"/>
      <c r="T82" s="123"/>
      <c r="U82" s="123"/>
      <c r="V82" s="123"/>
      <c r="W82" s="123"/>
      <c r="X82" s="123"/>
    </row>
    <row r="83" spans="1:24" s="125" customFormat="1" ht="42" customHeight="1">
      <c r="A83" s="121" t="s">
        <v>363</v>
      </c>
      <c r="B83" s="167"/>
      <c r="C83" s="168"/>
      <c r="D83" s="123"/>
      <c r="E83" s="123"/>
      <c r="F83" s="123"/>
      <c r="G83" s="123"/>
      <c r="H83" s="123"/>
      <c r="I83" s="123"/>
      <c r="J83" s="123"/>
      <c r="K83" s="123"/>
      <c r="L83" s="123"/>
      <c r="M83" s="123"/>
      <c r="N83" s="123"/>
      <c r="O83" s="123"/>
      <c r="P83" s="123"/>
      <c r="Q83" s="123"/>
      <c r="R83" s="123"/>
      <c r="S83" s="123"/>
      <c r="T83" s="123"/>
      <c r="U83" s="123"/>
      <c r="V83" s="123"/>
      <c r="W83" s="123"/>
      <c r="X83" s="123"/>
    </row>
    <row r="84" spans="1:24" s="125" customFormat="1" ht="42" customHeight="1">
      <c r="A84" s="121"/>
      <c r="B84" s="167"/>
      <c r="C84" s="168"/>
      <c r="D84" s="123"/>
      <c r="E84" s="123"/>
      <c r="F84" s="123"/>
      <c r="G84" s="123"/>
      <c r="H84" s="123"/>
      <c r="I84" s="123"/>
      <c r="J84" s="123"/>
      <c r="K84" s="123"/>
      <c r="L84" s="123"/>
      <c r="M84" s="167" t="s">
        <v>101</v>
      </c>
      <c r="N84" s="168" t="s">
        <v>364</v>
      </c>
      <c r="P84" s="123"/>
      <c r="Q84" s="123"/>
      <c r="R84" s="123"/>
      <c r="S84" s="123"/>
      <c r="T84" s="123"/>
      <c r="U84" s="123"/>
      <c r="V84" s="123"/>
      <c r="W84" s="123"/>
      <c r="X84" s="123"/>
    </row>
    <row r="85" spans="1:24" s="125" customFormat="1" ht="42" customHeight="1">
      <c r="A85" s="121"/>
      <c r="B85" s="167"/>
      <c r="C85" s="168"/>
      <c r="D85" s="123"/>
      <c r="E85" s="123"/>
      <c r="F85" s="123"/>
      <c r="G85" s="123"/>
      <c r="H85" s="123"/>
      <c r="I85" s="123"/>
      <c r="J85" s="123"/>
      <c r="K85" s="123"/>
      <c r="L85" s="123"/>
      <c r="M85" s="123"/>
      <c r="N85" s="123" t="s">
        <v>107</v>
      </c>
      <c r="P85" s="123"/>
      <c r="Q85" s="123"/>
      <c r="R85" s="123"/>
      <c r="S85" s="123"/>
      <c r="T85" s="123"/>
      <c r="U85" s="123"/>
      <c r="V85" s="123"/>
      <c r="W85" s="123"/>
      <c r="X85" s="123"/>
    </row>
    <row r="86" spans="1:24" s="125" customFormat="1" ht="42" customHeight="1">
      <c r="A86" s="121"/>
      <c r="B86" s="167"/>
      <c r="C86" s="168"/>
      <c r="D86" s="123"/>
      <c r="E86" s="123"/>
      <c r="F86" s="123"/>
      <c r="G86" s="123"/>
      <c r="H86" s="123"/>
      <c r="I86" s="123"/>
      <c r="J86" s="123"/>
      <c r="K86" s="123"/>
      <c r="L86" s="123"/>
      <c r="M86" s="123"/>
      <c r="N86" s="123" t="s">
        <v>108</v>
      </c>
      <c r="P86" s="123"/>
      <c r="Q86" s="123"/>
      <c r="R86" s="123"/>
      <c r="S86" s="123"/>
      <c r="T86" s="123"/>
      <c r="U86" s="123"/>
      <c r="V86" s="123"/>
      <c r="W86" s="123"/>
      <c r="X86" s="123"/>
    </row>
    <row r="87" spans="1:24" s="125" customFormat="1" ht="42" customHeight="1">
      <c r="A87" s="121"/>
      <c r="B87" s="167"/>
      <c r="C87" s="168"/>
      <c r="D87" s="123"/>
      <c r="E87" s="123"/>
      <c r="F87" s="123"/>
      <c r="G87" s="123"/>
      <c r="H87" s="123"/>
      <c r="I87" s="123"/>
      <c r="J87" s="123"/>
      <c r="K87" s="123"/>
      <c r="L87" s="123"/>
      <c r="M87" s="167" t="s">
        <v>102</v>
      </c>
      <c r="N87" s="168" t="s">
        <v>368</v>
      </c>
      <c r="P87" s="123"/>
      <c r="Q87" s="123"/>
      <c r="R87" s="123"/>
      <c r="S87" s="123"/>
      <c r="T87" s="123"/>
      <c r="U87" s="123"/>
      <c r="V87" s="123"/>
      <c r="W87" s="123"/>
      <c r="X87" s="123"/>
    </row>
    <row r="88" spans="1:24" s="125" customFormat="1" ht="42" customHeight="1">
      <c r="A88" s="121"/>
      <c r="B88" s="167"/>
      <c r="C88" s="168"/>
      <c r="D88" s="123"/>
      <c r="E88" s="123"/>
      <c r="F88" s="123"/>
      <c r="G88" s="123"/>
      <c r="H88" s="123"/>
      <c r="I88" s="123"/>
      <c r="J88" s="123"/>
      <c r="K88" s="123"/>
      <c r="L88" s="123"/>
      <c r="N88" s="168" t="s">
        <v>369</v>
      </c>
      <c r="P88" s="123"/>
      <c r="Q88" s="123"/>
      <c r="R88" s="123"/>
      <c r="S88" s="123"/>
      <c r="T88" s="123"/>
      <c r="U88" s="123"/>
      <c r="V88" s="123"/>
      <c r="W88" s="123"/>
      <c r="X88" s="123"/>
    </row>
    <row r="89" spans="1:24" s="125" customFormat="1" ht="42" customHeight="1">
      <c r="A89" s="121"/>
      <c r="B89" s="167"/>
      <c r="C89" s="168"/>
      <c r="D89" s="123"/>
      <c r="E89" s="123"/>
      <c r="F89" s="123"/>
      <c r="G89" s="123"/>
      <c r="H89" s="123"/>
      <c r="I89" s="123"/>
      <c r="J89" s="123"/>
      <c r="K89" s="123"/>
      <c r="L89" s="123"/>
      <c r="M89" s="167" t="s">
        <v>367</v>
      </c>
      <c r="N89" s="168" t="s">
        <v>366</v>
      </c>
      <c r="O89" s="123"/>
      <c r="P89" s="123"/>
      <c r="Q89" s="123"/>
      <c r="R89" s="123"/>
      <c r="S89" s="123"/>
      <c r="T89" s="123"/>
      <c r="U89" s="123"/>
      <c r="V89" s="123"/>
      <c r="W89" s="123"/>
      <c r="X89" s="123"/>
    </row>
    <row r="90" spans="1:24" s="125" customFormat="1" ht="42" customHeight="1">
      <c r="A90" s="121"/>
      <c r="B90" s="167"/>
      <c r="C90" s="168"/>
      <c r="D90" s="123"/>
      <c r="E90" s="123"/>
      <c r="F90" s="123"/>
      <c r="G90" s="123"/>
      <c r="H90" s="123"/>
      <c r="I90" s="123"/>
      <c r="J90" s="123"/>
      <c r="K90" s="123"/>
      <c r="L90" s="123"/>
      <c r="M90" s="123"/>
      <c r="N90" s="123" t="s">
        <v>365</v>
      </c>
      <c r="O90" s="123"/>
      <c r="P90" s="123"/>
      <c r="Q90" s="123"/>
      <c r="R90" s="123"/>
      <c r="S90" s="123"/>
      <c r="T90" s="123"/>
      <c r="U90" s="123"/>
      <c r="V90" s="123"/>
      <c r="W90" s="123"/>
      <c r="X90" s="123"/>
    </row>
    <row r="91" spans="1:24" s="125" customFormat="1" ht="42" customHeight="1">
      <c r="A91" s="121"/>
      <c r="B91" s="167"/>
      <c r="C91" s="168"/>
      <c r="D91" s="123"/>
      <c r="E91" s="123"/>
      <c r="F91" s="123"/>
      <c r="G91" s="123"/>
      <c r="H91" s="123"/>
      <c r="I91" s="123"/>
      <c r="J91" s="123"/>
      <c r="K91" s="123"/>
      <c r="L91" s="123"/>
      <c r="M91" s="167" t="s">
        <v>370</v>
      </c>
      <c r="N91" s="168" t="s">
        <v>372</v>
      </c>
      <c r="O91" s="123"/>
      <c r="P91" s="123"/>
      <c r="Q91" s="123"/>
      <c r="R91" s="123"/>
      <c r="S91" s="123"/>
      <c r="T91" s="123"/>
      <c r="U91" s="123"/>
      <c r="V91" s="123"/>
      <c r="W91" s="123"/>
      <c r="X91" s="123"/>
    </row>
    <row r="92" spans="1:24" s="125" customFormat="1" ht="42" customHeight="1">
      <c r="A92" s="123"/>
      <c r="B92" s="167"/>
      <c r="C92" s="168"/>
      <c r="D92" s="123"/>
      <c r="E92" s="123"/>
      <c r="F92" s="123"/>
      <c r="G92" s="123"/>
      <c r="H92" s="123"/>
      <c r="I92" s="123"/>
      <c r="J92" s="123"/>
      <c r="K92" s="123"/>
      <c r="L92" s="123"/>
      <c r="M92" s="123"/>
      <c r="N92" s="123"/>
      <c r="O92" s="123"/>
      <c r="P92" s="123"/>
      <c r="Q92" s="123"/>
      <c r="R92" s="123"/>
      <c r="S92" s="123"/>
      <c r="T92" s="123"/>
      <c r="U92" s="123"/>
      <c r="V92" s="123"/>
      <c r="W92" s="123"/>
      <c r="X92" s="123"/>
    </row>
    <row r="93" spans="1:24" s="125" customFormat="1" ht="42" customHeight="1">
      <c r="A93" s="123"/>
      <c r="B93" s="167"/>
      <c r="C93" s="168"/>
      <c r="D93" s="123"/>
      <c r="E93" s="123"/>
      <c r="F93" s="123"/>
      <c r="G93" s="123"/>
      <c r="H93" s="123"/>
      <c r="I93" s="123"/>
      <c r="J93" s="123"/>
      <c r="K93" s="123"/>
      <c r="L93" s="123"/>
      <c r="M93" s="123"/>
      <c r="N93" s="123"/>
      <c r="O93" s="123"/>
      <c r="P93" s="123"/>
      <c r="Q93" s="123"/>
      <c r="R93" s="123"/>
      <c r="S93" s="123"/>
      <c r="T93" s="123"/>
      <c r="U93" s="123"/>
      <c r="V93" s="123"/>
      <c r="W93" s="123"/>
      <c r="X93" s="123"/>
    </row>
    <row r="94" spans="1:24" s="125" customFormat="1" ht="42" customHeight="1">
      <c r="A94" s="123"/>
      <c r="B94" s="167"/>
      <c r="C94" s="168"/>
      <c r="D94" s="123"/>
      <c r="E94" s="123"/>
      <c r="F94" s="123"/>
      <c r="G94" s="123"/>
      <c r="H94" s="123"/>
      <c r="I94" s="123"/>
      <c r="J94" s="123"/>
      <c r="K94" s="123"/>
      <c r="L94" s="123"/>
      <c r="M94" s="123"/>
      <c r="N94" s="123"/>
      <c r="O94" s="123"/>
      <c r="P94" s="123"/>
      <c r="Q94" s="123"/>
      <c r="R94" s="123"/>
      <c r="S94" s="123"/>
      <c r="T94" s="123"/>
      <c r="U94" s="123"/>
      <c r="V94" s="123"/>
      <c r="W94" s="123"/>
      <c r="X94" s="123"/>
    </row>
    <row r="95" spans="1:24" s="125" customFormat="1" ht="42" customHeight="1">
      <c r="A95" s="123"/>
      <c r="B95" s="167"/>
      <c r="C95" s="168"/>
      <c r="D95" s="123"/>
      <c r="E95" s="123"/>
      <c r="F95" s="123"/>
      <c r="G95" s="123"/>
      <c r="H95" s="123"/>
      <c r="I95" s="123"/>
      <c r="J95" s="123"/>
      <c r="K95" s="123"/>
      <c r="L95" s="123"/>
      <c r="M95" s="123"/>
      <c r="N95" s="123"/>
      <c r="O95" s="123"/>
      <c r="P95" s="123"/>
      <c r="Q95" s="123"/>
      <c r="R95" s="123"/>
      <c r="S95" s="123"/>
      <c r="T95" s="123"/>
      <c r="U95" s="123"/>
      <c r="V95" s="123"/>
      <c r="W95" s="123"/>
      <c r="X95" s="123"/>
    </row>
    <row r="96" spans="1:24" s="125" customFormat="1" ht="42" customHeight="1">
      <c r="A96" s="121" t="s">
        <v>371</v>
      </c>
      <c r="B96" s="167"/>
      <c r="C96" s="168"/>
      <c r="D96" s="123"/>
      <c r="E96" s="123"/>
      <c r="F96" s="123"/>
      <c r="G96" s="123"/>
      <c r="H96" s="123"/>
      <c r="I96" s="123"/>
      <c r="J96" s="123"/>
      <c r="K96" s="123"/>
      <c r="L96" s="123"/>
      <c r="M96" s="123"/>
      <c r="N96" s="123"/>
      <c r="O96" s="123"/>
      <c r="P96" s="123"/>
      <c r="Q96" s="123"/>
      <c r="R96" s="123"/>
      <c r="S96" s="123"/>
      <c r="T96" s="123"/>
      <c r="U96" s="123"/>
      <c r="V96" s="123"/>
      <c r="W96" s="123"/>
      <c r="X96" s="123"/>
    </row>
    <row r="97" spans="1:24" s="125" customFormat="1" ht="42" customHeight="1">
      <c r="A97" s="121"/>
      <c r="B97" s="167"/>
      <c r="C97" s="168"/>
      <c r="D97" s="123"/>
      <c r="E97" s="123"/>
      <c r="F97" s="123"/>
      <c r="G97" s="123"/>
      <c r="H97" s="123"/>
      <c r="I97" s="123"/>
      <c r="J97" s="123"/>
      <c r="K97" s="123"/>
      <c r="L97" s="123"/>
      <c r="M97" s="167" t="s">
        <v>101</v>
      </c>
      <c r="N97" s="168" t="s">
        <v>373</v>
      </c>
      <c r="P97" s="123"/>
      <c r="Q97" s="123"/>
      <c r="R97" s="123"/>
      <c r="S97" s="123"/>
      <c r="T97" s="123"/>
      <c r="U97" s="123"/>
      <c r="V97" s="123"/>
      <c r="W97" s="123"/>
      <c r="X97" s="123"/>
    </row>
    <row r="98" spans="1:24" s="125" customFormat="1" ht="42" customHeight="1">
      <c r="A98" s="121"/>
      <c r="B98" s="167"/>
      <c r="C98" s="168"/>
      <c r="D98" s="123"/>
      <c r="E98" s="123"/>
      <c r="F98" s="123"/>
      <c r="G98" s="123"/>
      <c r="H98" s="123"/>
      <c r="I98" s="123"/>
      <c r="J98" s="123"/>
      <c r="K98" s="123"/>
      <c r="L98" s="123"/>
      <c r="M98" s="123"/>
      <c r="N98" s="123" t="s">
        <v>374</v>
      </c>
      <c r="P98" s="123"/>
      <c r="Q98" s="123"/>
      <c r="R98" s="123"/>
      <c r="S98" s="123"/>
      <c r="T98" s="123"/>
      <c r="U98" s="123"/>
      <c r="V98" s="123"/>
      <c r="W98" s="123"/>
      <c r="X98" s="123"/>
    </row>
    <row r="99" spans="1:24" s="125" customFormat="1" ht="42" customHeight="1">
      <c r="A99" s="121"/>
      <c r="B99" s="167"/>
      <c r="C99" s="168"/>
      <c r="D99" s="123"/>
      <c r="E99" s="123"/>
      <c r="F99" s="123"/>
      <c r="G99" s="123"/>
      <c r="H99" s="123"/>
      <c r="I99" s="123"/>
      <c r="J99" s="123"/>
      <c r="K99" s="123"/>
      <c r="L99" s="123"/>
      <c r="M99" s="123"/>
      <c r="N99" s="123" t="s">
        <v>108</v>
      </c>
      <c r="P99" s="123"/>
      <c r="Q99" s="123"/>
      <c r="R99" s="123"/>
      <c r="S99" s="123"/>
      <c r="T99" s="123"/>
      <c r="U99" s="123"/>
      <c r="V99" s="123"/>
      <c r="W99" s="123"/>
      <c r="X99" s="123"/>
    </row>
    <row r="100" spans="1:24" s="125" customFormat="1" ht="42" customHeight="1">
      <c r="A100" s="121"/>
      <c r="B100" s="167"/>
      <c r="C100" s="168"/>
      <c r="D100" s="123"/>
      <c r="E100" s="123"/>
      <c r="F100" s="123"/>
      <c r="G100" s="123"/>
      <c r="H100" s="123"/>
      <c r="I100" s="123"/>
      <c r="J100" s="123"/>
      <c r="K100" s="123"/>
      <c r="L100" s="123"/>
      <c r="M100" s="167" t="s">
        <v>102</v>
      </c>
      <c r="N100" s="168" t="s">
        <v>368</v>
      </c>
      <c r="P100" s="123"/>
      <c r="Q100" s="123"/>
      <c r="R100" s="123"/>
      <c r="S100" s="123"/>
      <c r="T100" s="123"/>
      <c r="U100" s="123"/>
      <c r="V100" s="123"/>
      <c r="W100" s="123"/>
      <c r="X100" s="123"/>
    </row>
    <row r="101" spans="1:24" s="125" customFormat="1" ht="42" customHeight="1">
      <c r="A101" s="121"/>
      <c r="B101" s="167"/>
      <c r="C101" s="168"/>
      <c r="D101" s="123"/>
      <c r="E101" s="123"/>
      <c r="F101" s="123"/>
      <c r="G101" s="123"/>
      <c r="H101" s="123"/>
      <c r="I101" s="123"/>
      <c r="J101" s="123"/>
      <c r="K101" s="123"/>
      <c r="L101" s="123"/>
      <c r="N101" s="168" t="s">
        <v>369</v>
      </c>
      <c r="P101" s="123"/>
      <c r="Q101" s="123"/>
      <c r="R101" s="123"/>
      <c r="S101" s="123"/>
      <c r="T101" s="123"/>
      <c r="U101" s="123"/>
      <c r="V101" s="123"/>
      <c r="W101" s="123"/>
      <c r="X101" s="123"/>
    </row>
    <row r="102" spans="1:24" s="125" customFormat="1" ht="42" customHeight="1">
      <c r="A102" s="121"/>
      <c r="B102" s="167"/>
      <c r="C102" s="168"/>
      <c r="D102" s="123"/>
      <c r="E102" s="123"/>
      <c r="F102" s="123"/>
      <c r="G102" s="123"/>
      <c r="H102" s="123"/>
      <c r="I102" s="123"/>
      <c r="J102" s="123"/>
      <c r="K102" s="123"/>
      <c r="L102" s="123"/>
      <c r="M102" s="167" t="s">
        <v>367</v>
      </c>
      <c r="N102" s="168" t="s">
        <v>366</v>
      </c>
      <c r="O102" s="123"/>
      <c r="P102" s="123"/>
      <c r="Q102" s="123"/>
      <c r="R102" s="123"/>
      <c r="S102" s="123"/>
      <c r="T102" s="123"/>
      <c r="U102" s="123"/>
      <c r="V102" s="123"/>
      <c r="W102" s="123"/>
      <c r="X102" s="123"/>
    </row>
    <row r="103" spans="1:24" s="125" customFormat="1" ht="42" customHeight="1">
      <c r="A103" s="121"/>
      <c r="B103" s="167"/>
      <c r="C103" s="168"/>
      <c r="D103" s="123"/>
      <c r="E103" s="123"/>
      <c r="F103" s="123"/>
      <c r="G103" s="123"/>
      <c r="H103" s="123"/>
      <c r="I103" s="123"/>
      <c r="J103" s="123"/>
      <c r="K103" s="123"/>
      <c r="L103" s="123"/>
      <c r="M103" s="123"/>
      <c r="N103" s="123" t="s">
        <v>365</v>
      </c>
      <c r="O103" s="123"/>
      <c r="P103" s="123"/>
      <c r="Q103" s="123"/>
      <c r="R103" s="123"/>
      <c r="S103" s="123"/>
      <c r="T103" s="123"/>
      <c r="U103" s="123"/>
      <c r="V103" s="123"/>
      <c r="W103" s="123"/>
      <c r="X103" s="123"/>
    </row>
    <row r="104" spans="1:24" s="125" customFormat="1" ht="42" customHeight="1">
      <c r="A104" s="121"/>
      <c r="B104" s="167"/>
      <c r="C104" s="168"/>
      <c r="D104" s="123"/>
      <c r="E104" s="123"/>
      <c r="F104" s="123"/>
      <c r="G104" s="123"/>
      <c r="H104" s="123"/>
      <c r="I104" s="123"/>
      <c r="J104" s="123"/>
      <c r="K104" s="123"/>
      <c r="L104" s="123"/>
      <c r="M104" s="167" t="s">
        <v>370</v>
      </c>
      <c r="N104" s="168" t="s">
        <v>372</v>
      </c>
      <c r="O104" s="123"/>
      <c r="P104" s="123"/>
      <c r="Q104" s="123"/>
      <c r="R104" s="123"/>
      <c r="S104" s="123"/>
      <c r="T104" s="123"/>
      <c r="U104" s="123"/>
      <c r="V104" s="123"/>
      <c r="W104" s="123"/>
      <c r="X104" s="123"/>
    </row>
    <row r="105" spans="1:24" s="125" customFormat="1" ht="42" customHeight="1">
      <c r="A105" s="123"/>
      <c r="B105" s="167"/>
      <c r="C105" s="168"/>
      <c r="D105" s="123"/>
      <c r="E105" s="123"/>
      <c r="F105" s="123"/>
      <c r="G105" s="123"/>
      <c r="H105" s="123"/>
      <c r="I105" s="123"/>
      <c r="J105" s="123"/>
      <c r="K105" s="123"/>
      <c r="L105" s="123"/>
      <c r="M105" s="123"/>
      <c r="N105" s="123"/>
      <c r="O105" s="123"/>
      <c r="P105" s="123"/>
      <c r="Q105" s="123"/>
      <c r="R105" s="123"/>
      <c r="S105" s="123"/>
      <c r="T105" s="123"/>
      <c r="U105" s="123"/>
      <c r="V105" s="123"/>
      <c r="W105" s="123"/>
      <c r="X105" s="123"/>
    </row>
    <row r="106" spans="1:24" s="125" customFormat="1" ht="42" customHeight="1">
      <c r="A106" s="123"/>
      <c r="B106" s="167"/>
      <c r="C106" s="168"/>
      <c r="D106" s="123"/>
      <c r="E106" s="123"/>
      <c r="F106" s="123"/>
      <c r="G106" s="123"/>
      <c r="H106" s="123"/>
      <c r="I106" s="123"/>
      <c r="J106" s="123"/>
      <c r="K106" s="123"/>
      <c r="L106" s="123"/>
      <c r="M106" s="123"/>
      <c r="N106" s="123"/>
      <c r="O106" s="123"/>
      <c r="P106" s="123"/>
      <c r="Q106" s="123"/>
      <c r="R106" s="123"/>
      <c r="S106" s="123"/>
      <c r="T106" s="123"/>
      <c r="U106" s="123"/>
      <c r="V106" s="123"/>
      <c r="W106" s="123"/>
      <c r="X106" s="123"/>
    </row>
    <row r="107" spans="1:24" s="125" customFormat="1" ht="42" customHeight="1">
      <c r="A107" s="123"/>
      <c r="B107" s="167"/>
      <c r="C107" s="168"/>
      <c r="D107" s="123"/>
      <c r="E107" s="123"/>
      <c r="F107" s="123"/>
      <c r="G107" s="123"/>
      <c r="H107" s="123"/>
      <c r="I107" s="123"/>
      <c r="J107" s="123"/>
      <c r="K107" s="123"/>
      <c r="L107" s="123"/>
      <c r="M107" s="123"/>
      <c r="N107" s="123"/>
      <c r="O107" s="123"/>
      <c r="P107" s="123"/>
      <c r="Q107" s="123"/>
      <c r="R107" s="123"/>
      <c r="S107" s="123"/>
      <c r="T107" s="123"/>
      <c r="U107" s="123"/>
      <c r="V107" s="123"/>
      <c r="W107" s="123"/>
      <c r="X107" s="123"/>
    </row>
    <row r="108" spans="1:24" s="125" customFormat="1" ht="42" customHeight="1">
      <c r="A108" s="123"/>
      <c r="B108" s="167"/>
      <c r="C108" s="168"/>
      <c r="D108" s="123"/>
      <c r="E108" s="123"/>
      <c r="F108" s="123"/>
      <c r="G108" s="123"/>
      <c r="H108" s="123"/>
      <c r="I108" s="123"/>
      <c r="J108" s="123"/>
      <c r="K108" s="123"/>
      <c r="L108" s="123"/>
      <c r="M108" s="123"/>
      <c r="N108" s="123"/>
      <c r="O108" s="123"/>
      <c r="P108" s="123"/>
      <c r="Q108" s="123"/>
      <c r="R108" s="123"/>
      <c r="S108" s="123"/>
      <c r="T108" s="123"/>
      <c r="U108" s="123"/>
      <c r="V108" s="123"/>
      <c r="W108" s="123"/>
      <c r="X108" s="123"/>
    </row>
    <row r="109" spans="1:24" s="125" customFormat="1" ht="42" customHeight="1">
      <c r="A109" s="123"/>
      <c r="B109" s="167"/>
      <c r="C109" s="168"/>
      <c r="D109" s="123"/>
      <c r="E109" s="123"/>
      <c r="F109" s="123"/>
      <c r="G109" s="123"/>
      <c r="H109" s="123"/>
      <c r="I109" s="123"/>
      <c r="J109" s="123"/>
      <c r="K109" s="123"/>
      <c r="L109" s="123"/>
      <c r="M109" s="123"/>
      <c r="N109" s="123"/>
      <c r="O109" s="123"/>
      <c r="P109" s="123"/>
      <c r="Q109" s="123"/>
      <c r="R109" s="123"/>
      <c r="S109" s="123"/>
      <c r="T109" s="123"/>
      <c r="U109" s="123"/>
      <c r="V109" s="123"/>
      <c r="W109" s="123"/>
      <c r="X109" s="123"/>
    </row>
    <row r="110" spans="1:24" s="125" customFormat="1" ht="42" customHeight="1">
      <c r="A110" s="123"/>
      <c r="B110" s="167"/>
      <c r="C110" s="168"/>
      <c r="D110" s="123"/>
      <c r="E110" s="123"/>
      <c r="F110" s="123"/>
      <c r="G110" s="123"/>
      <c r="H110" s="123"/>
      <c r="I110" s="123"/>
      <c r="J110" s="123"/>
      <c r="K110" s="123"/>
      <c r="L110" s="123"/>
      <c r="M110" s="123"/>
      <c r="N110" s="123"/>
      <c r="O110" s="123"/>
      <c r="P110" s="123"/>
      <c r="Q110" s="123"/>
      <c r="R110" s="123"/>
      <c r="S110" s="123"/>
      <c r="T110" s="123"/>
      <c r="U110" s="123"/>
      <c r="V110" s="123"/>
      <c r="W110" s="123"/>
      <c r="X110" s="123"/>
    </row>
    <row r="111" spans="1:24" s="125" customFormat="1" ht="35.25">
      <c r="A111" s="123"/>
      <c r="B111" s="167"/>
      <c r="C111" s="168"/>
      <c r="D111" s="123"/>
      <c r="E111" s="123"/>
      <c r="F111" s="123"/>
      <c r="G111" s="123"/>
      <c r="H111" s="123"/>
      <c r="I111" s="123"/>
      <c r="J111" s="123"/>
      <c r="K111" s="123"/>
      <c r="L111" s="123"/>
      <c r="M111" s="123"/>
      <c r="N111" s="123"/>
      <c r="O111" s="123"/>
      <c r="P111" s="123"/>
      <c r="Q111" s="123"/>
      <c r="R111" s="123"/>
      <c r="S111" s="123"/>
      <c r="T111" s="123"/>
      <c r="U111" s="123"/>
      <c r="V111" s="123"/>
      <c r="W111" s="123"/>
      <c r="X111" s="123"/>
    </row>
    <row r="112" spans="1:24" s="125" customFormat="1" ht="42" customHeight="1">
      <c r="A112" s="121" t="s">
        <v>377</v>
      </c>
      <c r="B112" s="167"/>
      <c r="C112" s="168"/>
      <c r="D112" s="123"/>
      <c r="E112" s="123"/>
      <c r="F112" s="123"/>
      <c r="G112" s="123"/>
      <c r="H112" s="123"/>
      <c r="I112" s="123"/>
      <c r="J112" s="123"/>
      <c r="K112" s="123"/>
      <c r="L112" s="123"/>
      <c r="M112" s="123"/>
      <c r="N112" s="123"/>
      <c r="O112" s="123"/>
      <c r="P112" s="123"/>
      <c r="Q112" s="123"/>
      <c r="R112" s="123"/>
      <c r="S112" s="123"/>
      <c r="T112" s="123"/>
      <c r="U112" s="123"/>
      <c r="V112" s="123"/>
      <c r="W112" s="123"/>
      <c r="X112" s="123"/>
    </row>
    <row r="113" spans="1:24" s="130" customFormat="1" ht="42" customHeight="1">
      <c r="A113" s="121"/>
      <c r="B113" s="140" t="s">
        <v>381</v>
      </c>
      <c r="C113" s="121" t="s">
        <v>378</v>
      </c>
      <c r="D113" s="121"/>
      <c r="E113" s="121"/>
      <c r="F113" s="121"/>
      <c r="G113" s="121"/>
      <c r="H113" s="121"/>
      <c r="I113" s="121"/>
      <c r="J113" s="121"/>
      <c r="K113" s="121"/>
      <c r="L113" s="121"/>
      <c r="M113" s="121"/>
      <c r="N113" s="121"/>
      <c r="O113" s="121"/>
      <c r="P113" s="121"/>
      <c r="Q113" s="121"/>
      <c r="R113" s="121"/>
      <c r="S113" s="121"/>
      <c r="T113" s="121"/>
      <c r="U113" s="121"/>
      <c r="V113" s="121"/>
      <c r="W113" s="121"/>
      <c r="X113" s="121"/>
    </row>
    <row r="114" spans="1:24" s="123" customFormat="1" ht="42" customHeight="1">
      <c r="D114" s="123" t="s">
        <v>379</v>
      </c>
    </row>
    <row r="115" spans="1:24" s="131" customFormat="1" ht="42" customHeight="1">
      <c r="A115" s="117"/>
      <c r="B115" s="140" t="s">
        <v>382</v>
      </c>
      <c r="C115" s="121" t="s">
        <v>380</v>
      </c>
      <c r="D115" s="117"/>
      <c r="E115" s="117"/>
      <c r="F115" s="117"/>
      <c r="G115" s="117"/>
      <c r="H115" s="117"/>
      <c r="I115" s="117"/>
      <c r="J115" s="117"/>
      <c r="K115" s="117"/>
      <c r="L115" s="117"/>
      <c r="M115" s="117"/>
      <c r="N115" s="117"/>
      <c r="O115" s="117"/>
      <c r="P115" s="117"/>
      <c r="Q115" s="117"/>
      <c r="R115" s="117"/>
      <c r="S115" s="117"/>
      <c r="T115" s="117"/>
      <c r="U115" s="117"/>
      <c r="V115" s="117"/>
      <c r="W115" s="117"/>
      <c r="X115" s="117"/>
    </row>
    <row r="116" spans="1:24" s="131" customFormat="1" ht="42" customHeight="1">
      <c r="A116" s="117"/>
      <c r="B116" s="140" t="s">
        <v>383</v>
      </c>
      <c r="C116" s="121" t="s">
        <v>385</v>
      </c>
      <c r="D116" s="117"/>
      <c r="E116" s="117"/>
      <c r="F116" s="117"/>
      <c r="G116" s="117"/>
      <c r="H116" s="117"/>
      <c r="I116" s="117"/>
      <c r="J116" s="117"/>
      <c r="K116" s="117"/>
      <c r="L116" s="117"/>
      <c r="M116" s="117"/>
      <c r="N116" s="117"/>
      <c r="O116" s="117"/>
      <c r="P116" s="117"/>
      <c r="Q116" s="117"/>
      <c r="R116" s="117"/>
      <c r="S116" s="117"/>
      <c r="T116" s="117"/>
      <c r="U116" s="117"/>
      <c r="V116" s="117"/>
      <c r="W116" s="117"/>
      <c r="X116" s="117"/>
    </row>
    <row r="117" spans="1:24" s="130" customFormat="1" ht="42" customHeight="1">
      <c r="A117" s="121"/>
      <c r="B117" s="140" t="s">
        <v>386</v>
      </c>
      <c r="C117" s="121" t="s">
        <v>111</v>
      </c>
      <c r="D117" s="121"/>
      <c r="E117" s="121"/>
      <c r="F117" s="121"/>
      <c r="G117" s="121"/>
      <c r="H117" s="121"/>
      <c r="I117" s="121"/>
      <c r="J117" s="121"/>
      <c r="K117" s="121"/>
      <c r="L117" s="121"/>
      <c r="M117" s="121"/>
      <c r="N117" s="121"/>
      <c r="O117" s="121"/>
      <c r="P117" s="121"/>
      <c r="Q117" s="121"/>
      <c r="R117" s="121"/>
      <c r="S117" s="121"/>
      <c r="T117" s="121"/>
      <c r="U117" s="121"/>
      <c r="V117" s="121"/>
      <c r="W117" s="121"/>
      <c r="X117" s="121"/>
    </row>
    <row r="118" spans="1:24" s="125" customFormat="1" ht="42" customHeight="1">
      <c r="A118" s="123"/>
      <c r="B118" s="141"/>
      <c r="C118" s="123"/>
      <c r="D118" s="123" t="s">
        <v>109</v>
      </c>
      <c r="E118" s="123"/>
      <c r="F118" s="123"/>
      <c r="G118" s="123"/>
      <c r="H118" s="123"/>
      <c r="I118" s="123"/>
      <c r="J118" s="123"/>
      <c r="K118" s="123"/>
      <c r="L118" s="123"/>
      <c r="M118" s="123"/>
      <c r="N118" s="123"/>
      <c r="O118" s="123"/>
      <c r="P118" s="123"/>
      <c r="Q118" s="123"/>
      <c r="R118" s="123"/>
      <c r="S118" s="123"/>
      <c r="T118" s="123"/>
      <c r="U118" s="123"/>
      <c r="V118" s="123"/>
      <c r="W118" s="123"/>
      <c r="X118" s="123"/>
    </row>
    <row r="119" spans="1:24" s="125" customFormat="1" ht="42" customHeight="1">
      <c r="A119" s="123"/>
      <c r="B119" s="124"/>
      <c r="C119" s="123"/>
      <c r="D119" s="123" t="s">
        <v>110</v>
      </c>
      <c r="E119" s="123"/>
      <c r="F119" s="123"/>
      <c r="G119" s="123"/>
      <c r="H119" s="123"/>
      <c r="I119" s="123"/>
      <c r="J119" s="123"/>
      <c r="K119" s="123"/>
      <c r="L119" s="123"/>
      <c r="M119" s="123"/>
      <c r="N119" s="123"/>
      <c r="O119" s="123"/>
      <c r="P119" s="123"/>
      <c r="Q119" s="123"/>
      <c r="R119" s="123"/>
      <c r="S119" s="123"/>
      <c r="T119" s="123"/>
      <c r="U119" s="123"/>
      <c r="V119" s="123"/>
      <c r="W119" s="123"/>
      <c r="X119" s="123"/>
    </row>
    <row r="120" spans="1:24" ht="42" customHeight="1">
      <c r="S120" s="299"/>
      <c r="T120" s="299"/>
      <c r="U120" s="299"/>
      <c r="V120" s="299"/>
      <c r="W120" s="299"/>
      <c r="X120" s="299"/>
    </row>
    <row r="121" spans="1:24" ht="42" customHeight="1"/>
    <row r="122" spans="1:24" ht="42" customHeight="1"/>
    <row r="123" spans="1:24" ht="42" customHeight="1"/>
    <row r="124" spans="1:24" ht="42" customHeight="1"/>
    <row r="125" spans="1:24" ht="42" customHeight="1"/>
    <row r="126" spans="1:24" ht="42" customHeight="1"/>
    <row r="127" spans="1:24" ht="42" customHeight="1"/>
    <row r="128" spans="1:24" ht="42" customHeight="1"/>
    <row r="129" ht="42" customHeight="1"/>
    <row r="130" ht="42" customHeight="1"/>
    <row r="131" ht="42" customHeight="1"/>
    <row r="132" ht="42" customHeight="1"/>
    <row r="133" ht="42" customHeight="1"/>
    <row r="134" ht="42" customHeight="1"/>
    <row r="135" ht="42" customHeight="1"/>
    <row r="136" ht="42" customHeight="1"/>
    <row r="137" ht="42" customHeight="1"/>
    <row r="138" ht="42" customHeight="1"/>
    <row r="139" ht="42" customHeight="1"/>
    <row r="140" ht="42" customHeight="1"/>
    <row r="141" ht="42" customHeight="1"/>
  </sheetData>
  <mergeCells count="15">
    <mergeCell ref="Y42:Z42"/>
    <mergeCell ref="E41:F41"/>
    <mergeCell ref="S120:X120"/>
    <mergeCell ref="E38:F38"/>
    <mergeCell ref="S1:X1"/>
    <mergeCell ref="A2:X2"/>
    <mergeCell ref="E6:X6"/>
    <mergeCell ref="E37:F37"/>
    <mergeCell ref="E44:F44"/>
    <mergeCell ref="W40:X42"/>
    <mergeCell ref="E40:F40"/>
    <mergeCell ref="E42:F42"/>
    <mergeCell ref="E43:F43"/>
    <mergeCell ref="E5:X5"/>
    <mergeCell ref="E39:G39"/>
  </mergeCells>
  <phoneticPr fontId="1"/>
  <pageMargins left="0.98425196850393704" right="0.98425196850393704" top="0.9055118110236221" bottom="0.9055118110236221" header="0.31496062992125984" footer="0.19685039370078741"/>
  <pageSetup paperSize="9" scale="36" fitToHeight="0" orientation="portrait" r:id="rId1"/>
  <headerFooter>
    <oddFooter>&amp;C&amp;14&amp;P／&amp;N</oddFooter>
  </headerFooter>
  <rowBreaks count="2" manualBreakCount="2">
    <brk id="47" max="23" man="1"/>
    <brk id="95" max="2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outlinePr showOutlineSymbols="0"/>
    <pageSetUpPr fitToPage="1"/>
  </sheetPr>
  <dimension ref="A1:BQ197"/>
  <sheetViews>
    <sheetView showZeros="0" showOutlineSymbols="0" view="pageBreakPreview" zoomScale="70" zoomScaleNormal="40" zoomScaleSheetLayoutView="70" workbookViewId="0">
      <selection activeCell="E8" sqref="E8:G8"/>
    </sheetView>
  </sheetViews>
  <sheetFormatPr defaultColWidth="9" defaultRowHeight="13.5" outlineLevelCol="1"/>
  <cols>
    <col min="1" max="1" width="5.25" style="2" bestFit="1" customWidth="1"/>
    <col min="2" max="2" width="7.25" style="4" customWidth="1"/>
    <col min="3" max="3" width="6.625" style="4" customWidth="1" outlineLevel="1"/>
    <col min="4" max="30" width="6.625" style="1" customWidth="1" outlineLevel="1"/>
    <col min="31" max="31" width="6.625" style="3" customWidth="1" outlineLevel="1"/>
    <col min="32" max="32" width="6.625" style="3" customWidth="1"/>
    <col min="33" max="34" width="6.625" style="1" customWidth="1"/>
    <col min="35" max="35" width="13.25" style="31" hidden="1" customWidth="1"/>
    <col min="36" max="38" width="22.375" style="31" hidden="1" customWidth="1"/>
    <col min="39" max="39" width="21.75" style="31" hidden="1" customWidth="1"/>
    <col min="40" max="40" width="9" style="31"/>
    <col min="41" max="42" width="9" style="1"/>
    <col min="43" max="63" width="6.625" style="1" customWidth="1"/>
    <col min="64" max="16384" width="9" style="1"/>
  </cols>
  <sheetData>
    <row r="1" spans="1:69" ht="32.450000000000003" customHeight="1">
      <c r="A1" s="338" t="s">
        <v>132</v>
      </c>
      <c r="B1" s="338"/>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c r="AF1" s="338"/>
      <c r="AG1" s="338"/>
      <c r="AH1" s="338"/>
      <c r="AI1" s="1"/>
      <c r="AJ1" s="1"/>
      <c r="AK1" s="1"/>
      <c r="AL1" s="1"/>
      <c r="AM1" s="1"/>
      <c r="AN1" s="1"/>
    </row>
    <row r="2" spans="1:69" s="10" customFormat="1" ht="32.450000000000003" customHeight="1">
      <c r="A2" s="66"/>
      <c r="B2" s="67"/>
      <c r="C2" s="66"/>
      <c r="D2" s="66"/>
      <c r="E2" s="66"/>
      <c r="F2" s="66"/>
      <c r="G2" s="66"/>
      <c r="H2" s="66"/>
      <c r="I2" s="66"/>
      <c r="J2" s="66"/>
      <c r="K2" s="66"/>
      <c r="L2" s="66"/>
      <c r="M2" s="66"/>
      <c r="N2" s="66"/>
      <c r="O2" s="66"/>
      <c r="P2" s="66"/>
      <c r="Q2" s="66"/>
      <c r="R2" s="66"/>
      <c r="S2" s="66"/>
      <c r="T2" s="66"/>
      <c r="U2" s="66"/>
      <c r="V2" s="66"/>
      <c r="W2" s="66"/>
      <c r="X2" s="66"/>
      <c r="Y2" s="66"/>
      <c r="Z2" s="66"/>
      <c r="AA2" s="66"/>
      <c r="AB2" s="66"/>
      <c r="AC2" s="339" t="s">
        <v>21</v>
      </c>
      <c r="AD2" s="339"/>
      <c r="AE2" s="339"/>
      <c r="AF2" s="339"/>
      <c r="AG2" s="339"/>
      <c r="AH2" s="339"/>
      <c r="AJ2" s="10" t="s">
        <v>114</v>
      </c>
      <c r="AK2" s="187">
        <f>H7</f>
        <v>45755</v>
      </c>
    </row>
    <row r="3" spans="1:69" s="10" customFormat="1" ht="32.450000000000003" customHeight="1">
      <c r="A3" s="66"/>
      <c r="B3" s="67"/>
      <c r="C3" s="66"/>
      <c r="D3" s="66"/>
      <c r="E3" s="66"/>
      <c r="F3" s="66"/>
      <c r="G3" s="66"/>
      <c r="H3" s="66"/>
      <c r="I3" s="66"/>
      <c r="J3" s="66"/>
      <c r="K3" s="66"/>
      <c r="L3" s="66"/>
      <c r="M3" s="66"/>
      <c r="N3" s="66"/>
      <c r="O3" s="66"/>
      <c r="P3" s="66"/>
      <c r="Q3" s="66"/>
      <c r="R3" s="66"/>
      <c r="S3" s="66"/>
      <c r="T3" s="66"/>
      <c r="U3" s="66"/>
      <c r="V3" s="66"/>
      <c r="W3" s="66"/>
      <c r="X3" s="66"/>
      <c r="Y3" s="66"/>
      <c r="Z3" s="66"/>
      <c r="AA3" s="66"/>
      <c r="AB3" s="66"/>
      <c r="AC3" s="340" t="s">
        <v>15</v>
      </c>
      <c r="AD3" s="340"/>
      <c r="AE3" s="340"/>
      <c r="AF3" s="340"/>
      <c r="AG3" s="340"/>
      <c r="AH3" s="340"/>
      <c r="AJ3" s="10" t="s">
        <v>115</v>
      </c>
      <c r="AK3" s="187">
        <f>AK2-WEEKDAY(AK2,3)</f>
        <v>45754</v>
      </c>
      <c r="AN3" s="226" t="s">
        <v>23</v>
      </c>
      <c r="AO3" s="186"/>
      <c r="AP3" s="186"/>
      <c r="AQ3" s="186"/>
      <c r="AR3" s="186"/>
      <c r="AS3" s="186"/>
      <c r="AT3" s="185"/>
      <c r="AU3" s="185"/>
      <c r="AV3" s="185"/>
      <c r="AW3" s="185"/>
      <c r="AX3" s="185"/>
    </row>
    <row r="4" spans="1:69" s="10" customFormat="1" ht="32.450000000000003" customHeight="1" thickBot="1">
      <c r="A4" s="66"/>
      <c r="B4" s="349" t="str">
        <f>IF(AC3="（休日取得計画提出）","本工事は，週休２日工事につき，下記のとおり休日取得計画を作成しましたので提出します。",IF(AC3="（変更休日取得計画提出）","本工事は，週休２日を実施していますが，休日取得計画に変更がありましたので提出します。",IF(AC3="（休日取得実施報告）","本工事は，下記のとおり実施しましたので報告します。","")))</f>
        <v>本工事は，下記のとおり実施しましたので報告します。</v>
      </c>
      <c r="C4" s="349"/>
      <c r="D4" s="349"/>
      <c r="E4" s="349"/>
      <c r="F4" s="349"/>
      <c r="G4" s="349"/>
      <c r="H4" s="349"/>
      <c r="I4" s="349"/>
      <c r="J4" s="349"/>
      <c r="K4" s="349"/>
      <c r="L4" s="349"/>
      <c r="M4" s="349"/>
      <c r="N4" s="349"/>
      <c r="O4" s="349"/>
      <c r="P4" s="349"/>
      <c r="Q4" s="349"/>
      <c r="R4" s="349"/>
      <c r="S4" s="349"/>
      <c r="T4" s="349"/>
      <c r="U4" s="349"/>
      <c r="V4" s="349"/>
      <c r="W4" s="349"/>
      <c r="X4" s="349"/>
      <c r="Y4" s="349"/>
      <c r="Z4" s="349"/>
      <c r="AA4" s="68"/>
      <c r="AB4" s="69"/>
      <c r="AC4" s="69"/>
      <c r="AD4" s="69"/>
      <c r="AE4" s="69"/>
      <c r="AF4" s="70"/>
      <c r="AG4" s="69"/>
      <c r="AH4" s="70"/>
      <c r="AJ4" s="10" t="s">
        <v>117</v>
      </c>
      <c r="AK4" s="187">
        <f>EOMONTH(AK3,0)</f>
        <v>45777</v>
      </c>
      <c r="AL4" s="185"/>
      <c r="AM4" s="185"/>
      <c r="AN4" s="185"/>
      <c r="AO4" s="185"/>
      <c r="AP4" s="185"/>
      <c r="AQ4" s="185"/>
      <c r="AR4" s="185"/>
      <c r="AS4" s="185"/>
      <c r="AT4" s="185"/>
      <c r="AU4" s="185"/>
      <c r="AV4" s="185"/>
      <c r="AW4" s="185"/>
      <c r="AX4" s="185"/>
      <c r="AY4" s="185"/>
      <c r="AZ4" s="185"/>
      <c r="BA4" s="185"/>
      <c r="BB4" s="185"/>
      <c r="BC4" s="185"/>
      <c r="BD4" s="185"/>
      <c r="BE4" s="185"/>
      <c r="BF4" s="185"/>
      <c r="BG4" s="185"/>
      <c r="BH4" s="185"/>
      <c r="BI4" s="185"/>
      <c r="BJ4" s="185"/>
      <c r="BK4" s="185"/>
      <c r="BL4" s="185"/>
      <c r="BM4" s="185"/>
      <c r="BN4" s="185"/>
      <c r="BO4" s="185"/>
      <c r="BP4" s="185"/>
      <c r="BQ4" s="185"/>
    </row>
    <row r="5" spans="1:69" s="10" customFormat="1" ht="32.450000000000003" customHeight="1" thickBot="1">
      <c r="A5" s="69"/>
      <c r="B5" s="310" t="s">
        <v>53</v>
      </c>
      <c r="C5" s="310"/>
      <c r="D5" s="310"/>
      <c r="E5" s="350" t="s">
        <v>24</v>
      </c>
      <c r="F5" s="350"/>
      <c r="G5" s="350"/>
      <c r="H5" s="350"/>
      <c r="I5" s="350"/>
      <c r="J5" s="350"/>
      <c r="K5" s="350"/>
      <c r="L5" s="350"/>
      <c r="M5" s="350"/>
      <c r="N5" s="350"/>
      <c r="O5" s="350"/>
      <c r="P5" s="350"/>
      <c r="Q5" s="350"/>
      <c r="R5" s="350"/>
      <c r="S5" s="350"/>
      <c r="T5" s="350"/>
      <c r="U5" s="350"/>
      <c r="V5" s="350"/>
      <c r="W5" s="350"/>
      <c r="X5" s="222"/>
      <c r="Y5" s="222"/>
      <c r="Z5" s="222"/>
      <c r="AA5" s="223"/>
      <c r="AB5" s="191"/>
      <c r="AC5" s="192"/>
      <c r="AD5" s="193"/>
      <c r="AE5" s="345" t="s">
        <v>26</v>
      </c>
      <c r="AF5" s="346"/>
      <c r="AG5" s="347" t="s">
        <v>27</v>
      </c>
      <c r="AH5" s="348"/>
      <c r="AI5" s="32"/>
      <c r="AJ5" s="10" t="s">
        <v>116</v>
      </c>
      <c r="AK5" s="187" t="b">
        <f>MONTH(AK2)=MONTH(AK3)</f>
        <v>1</v>
      </c>
      <c r="AL5" s="32"/>
      <c r="AM5" s="32"/>
      <c r="AN5" s="32"/>
    </row>
    <row r="6" spans="1:69" s="10" customFormat="1" ht="32.450000000000003" customHeight="1" thickBot="1">
      <c r="A6" s="69"/>
      <c r="B6" s="310" t="s">
        <v>136</v>
      </c>
      <c r="C6" s="310"/>
      <c r="D6" s="310"/>
      <c r="E6" s="341">
        <v>45748</v>
      </c>
      <c r="F6" s="341"/>
      <c r="G6" s="341"/>
      <c r="H6" s="341"/>
      <c r="I6" s="341"/>
      <c r="J6" s="341"/>
      <c r="K6" s="341"/>
      <c r="L6" s="341"/>
      <c r="M6" s="170" t="s">
        <v>25</v>
      </c>
      <c r="N6" s="341">
        <v>45781</v>
      </c>
      <c r="O6" s="341"/>
      <c r="P6" s="341"/>
      <c r="Q6" s="341"/>
      <c r="R6" s="341"/>
      <c r="S6" s="341"/>
      <c r="T6" s="341"/>
      <c r="U6" s="341"/>
      <c r="V6" s="171"/>
      <c r="W6" s="171"/>
      <c r="X6" s="222"/>
      <c r="Y6" s="222"/>
      <c r="Z6" s="222"/>
      <c r="AA6" s="224"/>
      <c r="AB6" s="311" t="s">
        <v>129</v>
      </c>
      <c r="AC6" s="312"/>
      <c r="AD6" s="313"/>
      <c r="AE6" s="343">
        <f>SUM(AE17)+SUM(AE23)+SUM(AE29)+SUM(AE35)+SUM(AE41)+SUM(AE47)+SUM(AE53)+SUM(AE59)+SUM(AE65)+SUM(AE71)+SUM(AE77)+SUM(AE83)+SUM(AE89)+SUM(AE95)+SUM(AE101)+SUM(AE107)+SUM(AE113)+SUM(AE119)+SUM(AE125)+SUM(AE131)</f>
        <v>27</v>
      </c>
      <c r="AF6" s="344"/>
      <c r="AG6" s="343">
        <f>SUM(AG17)+SUM(AG23)+SUM(AG29)+SUM(AG35)+SUM(AG41)+SUM(AG47)+SUM(AG53)+SUM(AG59)+SUM(AG65)+SUM(AG71)+SUM(AG77)+SUM(AG83)+SUM(AG89)+SUM(AG95)+SUM(AG101)+SUM(AG107)+SUM(AG113)+SUM(AG119)+SUM(AG125)+SUM(AG131)</f>
        <v>28</v>
      </c>
      <c r="AH6" s="344"/>
      <c r="AI6" s="32"/>
      <c r="AJ6" s="32" t="s">
        <v>118</v>
      </c>
      <c r="AK6" s="189">
        <f>Q7</f>
        <v>45781</v>
      </c>
      <c r="AL6" s="32"/>
      <c r="AM6" s="32"/>
      <c r="AN6" s="32"/>
    </row>
    <row r="7" spans="1:69" s="10" customFormat="1" ht="32.450000000000003" customHeight="1" thickBot="1">
      <c r="A7" s="69"/>
      <c r="C7" s="69"/>
      <c r="D7" s="69" t="s">
        <v>28</v>
      </c>
      <c r="E7" s="342" t="s">
        <v>29</v>
      </c>
      <c r="F7" s="342"/>
      <c r="G7" s="342"/>
      <c r="H7" s="341">
        <v>45755</v>
      </c>
      <c r="I7" s="341"/>
      <c r="J7" s="341"/>
      <c r="K7" s="341"/>
      <c r="L7" s="341"/>
      <c r="M7" s="170" t="s">
        <v>25</v>
      </c>
      <c r="N7" s="342" t="s">
        <v>30</v>
      </c>
      <c r="O7" s="342"/>
      <c r="P7" s="342"/>
      <c r="Q7" s="341">
        <v>45781</v>
      </c>
      <c r="R7" s="341"/>
      <c r="S7" s="341"/>
      <c r="T7" s="341"/>
      <c r="U7" s="341"/>
      <c r="V7" s="172" t="s">
        <v>12</v>
      </c>
      <c r="W7" s="173"/>
      <c r="X7" s="222"/>
      <c r="Y7" s="222"/>
      <c r="Z7" s="222"/>
      <c r="AA7" s="224"/>
      <c r="AB7" s="311" t="s">
        <v>130</v>
      </c>
      <c r="AC7" s="312"/>
      <c r="AD7" s="313"/>
      <c r="AE7" s="343">
        <f>SUM(AF17)+SUM(AF23)+SUM(AF29)+SUM(AF35)+SUM(AF41)+SUM(AF47)+SUM(AF53)+SUM(AF59)+SUM(AF65)+SUM(AF71)+SUM(AF77)+SUM(AF83)+SUM(AF89)+SUM(AF95)+SUM(AF101)+SUM(AF107)+SUM(AF113)+SUM(AF119)+SUM(AF125)+SUM(AF131)</f>
        <v>9</v>
      </c>
      <c r="AF7" s="344"/>
      <c r="AG7" s="343">
        <f>SUM(AH17)+SUM(AH23)+SUM(AH29)+SUM(AH35)+SUM(AH41)+SUM(AH47)+SUM(AH53)+SUM(AH59)+SUM(AH65)+SUM(AH71)+SUM(AH77)+SUM(AH83)+SUM(AH89)+SUM(AH95)+SUM(AH101)+SUM(AH107)+SUM(AH113)+SUM(AH119)+SUM(AH125)+SUM(AH131)</f>
        <v>0</v>
      </c>
      <c r="AH7" s="344"/>
      <c r="AI7" s="32"/>
      <c r="AJ7" s="32"/>
      <c r="AK7" s="365">
        <f>DATE(YEAR(H7),MONTH(H7),1)</f>
        <v>45748</v>
      </c>
      <c r="AL7" s="366"/>
      <c r="AM7" s="33"/>
      <c r="AN7" s="34"/>
    </row>
    <row r="8" spans="1:69" s="10" customFormat="1" ht="32.450000000000003" customHeight="1" thickBot="1">
      <c r="A8" s="69"/>
      <c r="B8" s="310" t="s">
        <v>135</v>
      </c>
      <c r="C8" s="310"/>
      <c r="D8" s="310"/>
      <c r="E8" s="378" t="s">
        <v>137</v>
      </c>
      <c r="F8" s="378"/>
      <c r="G8" s="378"/>
      <c r="H8" s="247"/>
      <c r="I8" s="172"/>
      <c r="J8" s="172"/>
      <c r="K8" s="172"/>
      <c r="L8" s="172"/>
      <c r="M8" s="172"/>
      <c r="N8" s="172"/>
      <c r="O8" s="172"/>
      <c r="P8" s="172"/>
      <c r="Q8" s="172"/>
      <c r="R8" s="172"/>
      <c r="S8" s="172"/>
      <c r="T8" s="172"/>
      <c r="U8" s="172"/>
      <c r="V8" s="172"/>
      <c r="W8" s="172"/>
      <c r="X8" s="222"/>
      <c r="Y8" s="222"/>
      <c r="Z8" s="222"/>
      <c r="AA8" s="222"/>
      <c r="AB8" s="311" t="s">
        <v>131</v>
      </c>
      <c r="AC8" s="312"/>
      <c r="AD8" s="313"/>
      <c r="AE8" s="376">
        <f>ROUNDDOWN(AE7/AE6,4)</f>
        <v>0.33329999999999999</v>
      </c>
      <c r="AF8" s="377"/>
      <c r="AG8" s="376">
        <f>ROUNDDOWN(AG7/AG6,4)</f>
        <v>0</v>
      </c>
      <c r="AH8" s="377"/>
      <c r="AI8" s="32"/>
      <c r="AJ8" s="32"/>
      <c r="AK8" s="180"/>
      <c r="AL8" s="64"/>
      <c r="AM8" s="34"/>
    </row>
    <row r="9" spans="1:69" s="10" customFormat="1" ht="32.450000000000003" customHeight="1" thickBot="1">
      <c r="A9" s="69"/>
      <c r="B9" s="67"/>
      <c r="C9" s="69"/>
      <c r="D9" s="69"/>
      <c r="E9" s="69"/>
      <c r="F9" s="69"/>
      <c r="G9" s="69"/>
      <c r="H9" s="184"/>
      <c r="I9" s="61"/>
      <c r="J9" s="61"/>
      <c r="K9" s="65"/>
      <c r="L9" s="65"/>
      <c r="M9" s="65"/>
      <c r="N9" s="65"/>
      <c r="O9" s="65"/>
      <c r="P9" s="66"/>
      <c r="Q9" s="61"/>
      <c r="R9" s="190"/>
      <c r="S9" s="61"/>
      <c r="T9" s="61"/>
      <c r="U9" s="61"/>
      <c r="V9" s="61"/>
      <c r="W9" s="65"/>
      <c r="X9" s="222"/>
      <c r="Y9" s="222"/>
      <c r="Z9" s="222"/>
      <c r="AA9" s="222"/>
      <c r="AB9" s="311" t="s">
        <v>125</v>
      </c>
      <c r="AC9" s="312"/>
      <c r="AD9" s="313"/>
      <c r="AE9" s="351" t="s">
        <v>127</v>
      </c>
      <c r="AF9" s="352"/>
      <c r="AG9" s="351" t="s">
        <v>127</v>
      </c>
      <c r="AH9" s="352"/>
      <c r="AI9" s="32"/>
      <c r="AJ9" s="32"/>
      <c r="AK9" s="180"/>
      <c r="AL9" s="64"/>
      <c r="AM9" s="34"/>
      <c r="AN9" s="226" t="s">
        <v>133</v>
      </c>
    </row>
    <row r="10" spans="1:69" s="10" customFormat="1" ht="32.450000000000003" customHeight="1" thickBot="1">
      <c r="A10" s="69"/>
      <c r="B10" s="67"/>
      <c r="C10" s="69"/>
      <c r="D10" s="69"/>
      <c r="E10" s="69"/>
      <c r="F10" s="69"/>
      <c r="G10" s="69"/>
      <c r="H10" s="61"/>
      <c r="I10" s="61"/>
      <c r="J10" s="61"/>
      <c r="K10" s="65"/>
      <c r="L10" s="65"/>
      <c r="M10" s="65"/>
      <c r="N10" s="65"/>
      <c r="O10" s="65"/>
      <c r="P10" s="66"/>
      <c r="Q10" s="61"/>
      <c r="R10" s="61"/>
      <c r="S10" s="61"/>
      <c r="T10" s="61"/>
      <c r="U10" s="61"/>
      <c r="V10" s="61"/>
      <c r="W10" s="65"/>
      <c r="X10" s="65"/>
      <c r="Y10" s="71"/>
      <c r="Z10" s="65"/>
      <c r="AA10" s="65"/>
      <c r="AB10" s="69"/>
      <c r="AC10" s="69"/>
      <c r="AD10" s="69"/>
      <c r="AE10" s="73"/>
      <c r="AF10" s="73"/>
      <c r="AG10" s="62"/>
      <c r="AH10" s="62"/>
      <c r="AI10" s="32"/>
      <c r="AJ10" s="32"/>
      <c r="AK10" s="64"/>
      <c r="AL10" s="64"/>
      <c r="AM10" s="34"/>
      <c r="AN10" s="34"/>
    </row>
    <row r="11" spans="1:69" ht="36" customHeight="1" thickBot="1">
      <c r="A11" s="360"/>
      <c r="B11" s="63"/>
      <c r="C11" s="358" t="s">
        <v>6</v>
      </c>
      <c r="D11" s="358"/>
      <c r="E11" s="358"/>
      <c r="F11" s="358"/>
      <c r="G11" s="358"/>
      <c r="H11" s="358"/>
      <c r="I11" s="358"/>
      <c r="J11" s="358" t="s">
        <v>7</v>
      </c>
      <c r="K11" s="358"/>
      <c r="L11" s="358"/>
      <c r="M11" s="358"/>
      <c r="N11" s="358"/>
      <c r="O11" s="358"/>
      <c r="P11" s="358"/>
      <c r="Q11" s="358" t="s">
        <v>8</v>
      </c>
      <c r="R11" s="358"/>
      <c r="S11" s="358"/>
      <c r="T11" s="358"/>
      <c r="U11" s="358"/>
      <c r="V11" s="358"/>
      <c r="W11" s="358"/>
      <c r="X11" s="358" t="s">
        <v>9</v>
      </c>
      <c r="Y11" s="358"/>
      <c r="Z11" s="358"/>
      <c r="AA11" s="358"/>
      <c r="AB11" s="358"/>
      <c r="AC11" s="358"/>
      <c r="AD11" s="359"/>
      <c r="AE11" s="367" t="s">
        <v>4</v>
      </c>
      <c r="AF11" s="368"/>
      <c r="AG11" s="371" t="s">
        <v>5</v>
      </c>
      <c r="AH11" s="372"/>
      <c r="AK11" s="35"/>
      <c r="AL11" s="35"/>
      <c r="AQ11" s="72"/>
    </row>
    <row r="12" spans="1:69" s="4" customFormat="1" ht="14.25" hidden="1" thickBot="1">
      <c r="A12" s="361"/>
      <c r="B12" s="206"/>
      <c r="C12" s="207">
        <v>1</v>
      </c>
      <c r="D12" s="207">
        <v>2</v>
      </c>
      <c r="E12" s="207">
        <v>3</v>
      </c>
      <c r="F12" s="207">
        <v>4</v>
      </c>
      <c r="G12" s="207">
        <v>5</v>
      </c>
      <c r="H12" s="207">
        <v>6</v>
      </c>
      <c r="I12" s="207">
        <v>7</v>
      </c>
      <c r="J12" s="207">
        <v>8</v>
      </c>
      <c r="K12" s="207">
        <v>9</v>
      </c>
      <c r="L12" s="207">
        <v>10</v>
      </c>
      <c r="M12" s="207">
        <v>11</v>
      </c>
      <c r="N12" s="207">
        <v>12</v>
      </c>
      <c r="O12" s="207">
        <v>13</v>
      </c>
      <c r="P12" s="207">
        <v>14</v>
      </c>
      <c r="Q12" s="207">
        <v>15</v>
      </c>
      <c r="R12" s="207">
        <v>16</v>
      </c>
      <c r="S12" s="207">
        <v>17</v>
      </c>
      <c r="T12" s="207">
        <v>18</v>
      </c>
      <c r="U12" s="207">
        <v>19</v>
      </c>
      <c r="V12" s="207">
        <v>20</v>
      </c>
      <c r="W12" s="207">
        <v>21</v>
      </c>
      <c r="X12" s="207">
        <v>22</v>
      </c>
      <c r="Y12" s="207">
        <v>23</v>
      </c>
      <c r="Z12" s="207">
        <v>24</v>
      </c>
      <c r="AA12" s="207">
        <v>25</v>
      </c>
      <c r="AB12" s="207">
        <v>26</v>
      </c>
      <c r="AC12" s="207">
        <v>27</v>
      </c>
      <c r="AD12" s="207">
        <v>28</v>
      </c>
      <c r="AE12" s="369"/>
      <c r="AF12" s="370"/>
      <c r="AG12" s="373"/>
      <c r="AH12" s="374"/>
      <c r="AI12" s="31"/>
      <c r="AJ12" s="36"/>
      <c r="AK12" s="37"/>
      <c r="AL12" s="176"/>
      <c r="AM12" s="36"/>
      <c r="AN12" s="36"/>
    </row>
    <row r="13" spans="1:69" ht="23.25" customHeight="1">
      <c r="A13" s="362" t="s">
        <v>121</v>
      </c>
      <c r="B13" s="209" t="s">
        <v>0</v>
      </c>
      <c r="C13" s="210">
        <f>IF($AK$5=FALSE,IF($AK$15&lt;=EOMONTH($AK$14,0),$AK$15,""),AK15)</f>
        <v>45754</v>
      </c>
      <c r="D13" s="210">
        <f t="shared" ref="D13:AD13" si="0">IF($AK$5=FALSE,IF($AK$15+C12&lt;=EOMONTH($AK$14,0),$AK$15+C12,""),$AK$15+C12)</f>
        <v>45755</v>
      </c>
      <c r="E13" s="210">
        <f t="shared" si="0"/>
        <v>45756</v>
      </c>
      <c r="F13" s="210">
        <f t="shared" si="0"/>
        <v>45757</v>
      </c>
      <c r="G13" s="210">
        <f t="shared" si="0"/>
        <v>45758</v>
      </c>
      <c r="H13" s="210">
        <f t="shared" si="0"/>
        <v>45759</v>
      </c>
      <c r="I13" s="210">
        <f t="shared" si="0"/>
        <v>45760</v>
      </c>
      <c r="J13" s="210">
        <f t="shared" si="0"/>
        <v>45761</v>
      </c>
      <c r="K13" s="210">
        <f t="shared" si="0"/>
        <v>45762</v>
      </c>
      <c r="L13" s="210">
        <f t="shared" si="0"/>
        <v>45763</v>
      </c>
      <c r="M13" s="210">
        <f t="shared" si="0"/>
        <v>45764</v>
      </c>
      <c r="N13" s="210">
        <f t="shared" si="0"/>
        <v>45765</v>
      </c>
      <c r="O13" s="210">
        <f t="shared" si="0"/>
        <v>45766</v>
      </c>
      <c r="P13" s="210">
        <f t="shared" si="0"/>
        <v>45767</v>
      </c>
      <c r="Q13" s="210">
        <f t="shared" si="0"/>
        <v>45768</v>
      </c>
      <c r="R13" s="210">
        <f t="shared" si="0"/>
        <v>45769</v>
      </c>
      <c r="S13" s="210">
        <f t="shared" si="0"/>
        <v>45770</v>
      </c>
      <c r="T13" s="210">
        <f t="shared" si="0"/>
        <v>45771</v>
      </c>
      <c r="U13" s="210">
        <f t="shared" si="0"/>
        <v>45772</v>
      </c>
      <c r="V13" s="210">
        <f t="shared" si="0"/>
        <v>45773</v>
      </c>
      <c r="W13" s="210">
        <f t="shared" si="0"/>
        <v>45774</v>
      </c>
      <c r="X13" s="210">
        <f t="shared" si="0"/>
        <v>45775</v>
      </c>
      <c r="Y13" s="210">
        <f t="shared" si="0"/>
        <v>45776</v>
      </c>
      <c r="Z13" s="210">
        <f t="shared" si="0"/>
        <v>45777</v>
      </c>
      <c r="AA13" s="210">
        <f t="shared" si="0"/>
        <v>45778</v>
      </c>
      <c r="AB13" s="210">
        <f t="shared" si="0"/>
        <v>45779</v>
      </c>
      <c r="AC13" s="210">
        <f t="shared" si="0"/>
        <v>45780</v>
      </c>
      <c r="AD13" s="211">
        <f t="shared" si="0"/>
        <v>45781</v>
      </c>
      <c r="AE13" s="304" t="s">
        <v>113</v>
      </c>
      <c r="AF13" s="305"/>
      <c r="AG13" s="306">
        <f>NETWORKDAYS.INTL(AK14,IF(AL13="〇",AK13,Q7),"1111100")</f>
        <v>8</v>
      </c>
      <c r="AH13" s="307"/>
      <c r="AI13" s="74"/>
      <c r="AJ13" s="31" t="s">
        <v>120</v>
      </c>
      <c r="AK13" s="194">
        <f>AK15+27</f>
        <v>45781</v>
      </c>
      <c r="AL13" s="195" t="str">
        <f>IF(AK13&lt;=Q7,"〇","×")</f>
        <v>〇</v>
      </c>
    </row>
    <row r="14" spans="1:69" ht="23.25" customHeight="1">
      <c r="A14" s="363"/>
      <c r="B14" s="54" t="s">
        <v>1</v>
      </c>
      <c r="C14" s="179">
        <f>IF($AK$5=FALSE,IF($AK$15&lt;=EOMONTH($AK$14,0),$AK$15,""),AK15)</f>
        <v>45754</v>
      </c>
      <c r="D14" s="179">
        <f t="shared" ref="D14:AD14" si="1">IF($AK$5=FALSE,IF($AK$15+C12&lt;=EOMONTH($AK$14,0),$AK$15+C12,""),$AK$15+C12)</f>
        <v>45755</v>
      </c>
      <c r="E14" s="179">
        <f t="shared" si="1"/>
        <v>45756</v>
      </c>
      <c r="F14" s="179">
        <f t="shared" si="1"/>
        <v>45757</v>
      </c>
      <c r="G14" s="179">
        <f t="shared" si="1"/>
        <v>45758</v>
      </c>
      <c r="H14" s="179">
        <f t="shared" si="1"/>
        <v>45759</v>
      </c>
      <c r="I14" s="179">
        <f t="shared" si="1"/>
        <v>45760</v>
      </c>
      <c r="J14" s="179">
        <f t="shared" si="1"/>
        <v>45761</v>
      </c>
      <c r="K14" s="179">
        <f t="shared" si="1"/>
        <v>45762</v>
      </c>
      <c r="L14" s="179">
        <f t="shared" si="1"/>
        <v>45763</v>
      </c>
      <c r="M14" s="179">
        <f t="shared" si="1"/>
        <v>45764</v>
      </c>
      <c r="N14" s="179">
        <f t="shared" si="1"/>
        <v>45765</v>
      </c>
      <c r="O14" s="179">
        <f t="shared" si="1"/>
        <v>45766</v>
      </c>
      <c r="P14" s="179">
        <f t="shared" si="1"/>
        <v>45767</v>
      </c>
      <c r="Q14" s="179">
        <f t="shared" si="1"/>
        <v>45768</v>
      </c>
      <c r="R14" s="179">
        <f t="shared" si="1"/>
        <v>45769</v>
      </c>
      <c r="S14" s="179">
        <f t="shared" si="1"/>
        <v>45770</v>
      </c>
      <c r="T14" s="179">
        <f t="shared" si="1"/>
        <v>45771</v>
      </c>
      <c r="U14" s="179">
        <f t="shared" si="1"/>
        <v>45772</v>
      </c>
      <c r="V14" s="179">
        <f t="shared" si="1"/>
        <v>45773</v>
      </c>
      <c r="W14" s="179">
        <f t="shared" si="1"/>
        <v>45774</v>
      </c>
      <c r="X14" s="179">
        <f t="shared" si="1"/>
        <v>45775</v>
      </c>
      <c r="Y14" s="179">
        <f t="shared" si="1"/>
        <v>45776</v>
      </c>
      <c r="Z14" s="179">
        <f t="shared" si="1"/>
        <v>45777</v>
      </c>
      <c r="AA14" s="179">
        <f t="shared" si="1"/>
        <v>45778</v>
      </c>
      <c r="AB14" s="179">
        <f t="shared" si="1"/>
        <v>45779</v>
      </c>
      <c r="AC14" s="179">
        <f t="shared" si="1"/>
        <v>45780</v>
      </c>
      <c r="AD14" s="198">
        <f t="shared" si="1"/>
        <v>45781</v>
      </c>
      <c r="AE14" s="308" t="s">
        <v>112</v>
      </c>
      <c r="AF14" s="309"/>
      <c r="AG14" s="314" t="s">
        <v>112</v>
      </c>
      <c r="AH14" s="315"/>
      <c r="AJ14" s="31" t="s">
        <v>119</v>
      </c>
      <c r="AK14" s="375">
        <f>H7</f>
        <v>45755</v>
      </c>
      <c r="AL14" s="375"/>
    </row>
    <row r="15" spans="1:69" ht="23.25" customHeight="1">
      <c r="A15" s="363"/>
      <c r="B15" s="8" t="s">
        <v>2</v>
      </c>
      <c r="C15" s="183" t="str">
        <f>TEXT(C14,"aaa")</f>
        <v>月</v>
      </c>
      <c r="D15" s="183" t="str">
        <f t="shared" ref="D15:AD15" si="2">TEXT(D14,"aaa")</f>
        <v>火</v>
      </c>
      <c r="E15" s="183" t="str">
        <f t="shared" si="2"/>
        <v>水</v>
      </c>
      <c r="F15" s="183" t="str">
        <f t="shared" si="2"/>
        <v>木</v>
      </c>
      <c r="G15" s="183" t="str">
        <f t="shared" si="2"/>
        <v>金</v>
      </c>
      <c r="H15" s="183" t="str">
        <f t="shared" si="2"/>
        <v>土</v>
      </c>
      <c r="I15" s="183" t="str">
        <f t="shared" si="2"/>
        <v>日</v>
      </c>
      <c r="J15" s="183" t="str">
        <f t="shared" si="2"/>
        <v>月</v>
      </c>
      <c r="K15" s="183" t="str">
        <f t="shared" si="2"/>
        <v>火</v>
      </c>
      <c r="L15" s="183" t="str">
        <f t="shared" si="2"/>
        <v>水</v>
      </c>
      <c r="M15" s="183" t="str">
        <f t="shared" si="2"/>
        <v>木</v>
      </c>
      <c r="N15" s="183" t="str">
        <f t="shared" si="2"/>
        <v>金</v>
      </c>
      <c r="O15" s="183" t="str">
        <f t="shared" si="2"/>
        <v>土</v>
      </c>
      <c r="P15" s="183" t="str">
        <f t="shared" si="2"/>
        <v>日</v>
      </c>
      <c r="Q15" s="183" t="str">
        <f t="shared" si="2"/>
        <v>月</v>
      </c>
      <c r="R15" s="183" t="str">
        <f t="shared" si="2"/>
        <v>火</v>
      </c>
      <c r="S15" s="183" t="str">
        <f t="shared" si="2"/>
        <v>水</v>
      </c>
      <c r="T15" s="183" t="str">
        <f t="shared" si="2"/>
        <v>木</v>
      </c>
      <c r="U15" s="183" t="str">
        <f t="shared" si="2"/>
        <v>金</v>
      </c>
      <c r="V15" s="183" t="str">
        <f t="shared" si="2"/>
        <v>土</v>
      </c>
      <c r="W15" s="183" t="str">
        <f t="shared" si="2"/>
        <v>日</v>
      </c>
      <c r="X15" s="183" t="str">
        <f t="shared" si="2"/>
        <v>月</v>
      </c>
      <c r="Y15" s="183" t="str">
        <f t="shared" si="2"/>
        <v>火</v>
      </c>
      <c r="Z15" s="183" t="str">
        <f t="shared" si="2"/>
        <v>水</v>
      </c>
      <c r="AA15" s="183" t="str">
        <f t="shared" si="2"/>
        <v>木</v>
      </c>
      <c r="AB15" s="183" t="str">
        <f t="shared" si="2"/>
        <v>金</v>
      </c>
      <c r="AC15" s="183" t="str">
        <f t="shared" si="2"/>
        <v>土</v>
      </c>
      <c r="AD15" s="199" t="str">
        <f t="shared" si="2"/>
        <v>日</v>
      </c>
      <c r="AE15" s="300">
        <f>ROUNDDOWN(AF17/AE17,4)</f>
        <v>0.33329999999999999</v>
      </c>
      <c r="AF15" s="301"/>
      <c r="AG15" s="302">
        <f>ROUNDDOWN(AH17/AG17,4)</f>
        <v>0</v>
      </c>
      <c r="AH15" s="303"/>
      <c r="AJ15" s="31" t="s">
        <v>139</v>
      </c>
      <c r="AK15" s="194">
        <f>AK14-WEEKDAY(AK14,IF(E8="営繕",1,3))</f>
        <v>45754</v>
      </c>
      <c r="AL15" s="225">
        <f>AK13-AK14+1-COUNTIF(C17:AD17,"夏")-COUNTIF(C17:AD17,"正")-COUNTIF(C17:AD17,"止")-COUNTIF(C17:AD17,"準")-COUNTIF(C17:AD17,"完")</f>
        <v>26</v>
      </c>
      <c r="AM15" s="197"/>
    </row>
    <row r="16" spans="1:69" s="7" customFormat="1" ht="119.25" customHeight="1">
      <c r="A16" s="363"/>
      <c r="B16" s="6" t="s">
        <v>3</v>
      </c>
      <c r="C16" s="175"/>
      <c r="D16" s="175"/>
      <c r="E16" s="188"/>
      <c r="F16" s="188"/>
      <c r="G16" s="188"/>
      <c r="H16" s="188"/>
      <c r="I16" s="188"/>
      <c r="J16" s="188"/>
      <c r="K16" s="188"/>
      <c r="L16" s="188"/>
      <c r="M16" s="188"/>
      <c r="N16" s="188"/>
      <c r="O16" s="188"/>
      <c r="P16" s="188"/>
      <c r="Q16" s="188"/>
      <c r="R16" s="188"/>
      <c r="S16" s="175"/>
      <c r="T16" s="175"/>
      <c r="U16" s="175"/>
      <c r="V16" s="175"/>
      <c r="W16" s="175"/>
      <c r="X16" s="175"/>
      <c r="Y16" s="175"/>
      <c r="Z16" s="175"/>
      <c r="AA16" s="175"/>
      <c r="AB16" s="175"/>
      <c r="AC16" s="175"/>
      <c r="AD16" s="196"/>
      <c r="AE16" s="200" t="s">
        <v>122</v>
      </c>
      <c r="AF16" s="201" t="s">
        <v>123</v>
      </c>
      <c r="AG16" s="204" t="s">
        <v>122</v>
      </c>
      <c r="AH16" s="212" t="s">
        <v>124</v>
      </c>
      <c r="AI16" s="31"/>
      <c r="AJ16" s="182"/>
      <c r="AK16" s="40"/>
      <c r="AL16" s="40"/>
      <c r="AM16" s="39"/>
      <c r="AN16" s="39"/>
    </row>
    <row r="17" spans="1:43" ht="28.5" customHeight="1">
      <c r="A17" s="363"/>
      <c r="B17" s="5" t="s">
        <v>4</v>
      </c>
      <c r="C17" s="174" t="s">
        <v>31</v>
      </c>
      <c r="D17" s="174" t="str">
        <f>IF(D13="","",IF($E$8="営繕","休",""))</f>
        <v/>
      </c>
      <c r="E17" s="174"/>
      <c r="F17" s="174"/>
      <c r="G17" s="174"/>
      <c r="H17" s="174" t="str">
        <f>IF(H13="","",IF($E$8="土木","休",""))</f>
        <v>休</v>
      </c>
      <c r="I17" s="174" t="str">
        <f>IF(I13="","",IF($E$8="土木","休",""))</f>
        <v>休</v>
      </c>
      <c r="J17" s="174" t="str">
        <f>IF(J13="","",IF($E$8="営繕","休",""))</f>
        <v/>
      </c>
      <c r="K17" s="174" t="str">
        <f>IF(K13="","",IF($E$8="営繕","休",""))</f>
        <v/>
      </c>
      <c r="L17" s="174"/>
      <c r="M17" s="174"/>
      <c r="N17" s="174"/>
      <c r="O17" s="174" t="str">
        <f>IF(O13="","",IF($E$8="土木","休",""))</f>
        <v>休</v>
      </c>
      <c r="P17" s="174" t="str">
        <f>IF(P13="","",IF($E$8="土木","休",""))</f>
        <v>休</v>
      </c>
      <c r="Q17" s="174" t="str">
        <f>IF(Q13="","",IF($E$8="営繕","休",""))</f>
        <v/>
      </c>
      <c r="R17" s="174" t="str">
        <f>IF(R13="","",IF($E$8="営繕","休",""))</f>
        <v/>
      </c>
      <c r="S17" s="174"/>
      <c r="T17" s="174"/>
      <c r="U17" s="174"/>
      <c r="V17" s="174" t="str">
        <f>IF(V13="","",IF($E$8="土木","休",""))</f>
        <v>休</v>
      </c>
      <c r="W17" s="174" t="str">
        <f>IF(W13="","",IF($E$8="土木","休",""))</f>
        <v>休</v>
      </c>
      <c r="X17" s="174" t="str">
        <f>IF(X13="","",IF($E$8="営繕","休",""))</f>
        <v/>
      </c>
      <c r="Y17" s="174" t="s">
        <v>34</v>
      </c>
      <c r="Z17" s="174"/>
      <c r="AA17" s="174"/>
      <c r="AB17" s="174"/>
      <c r="AC17" s="174" t="str">
        <f>IF(AC13="","",IF($E$8="土木","休",""))</f>
        <v>休</v>
      </c>
      <c r="AD17" s="174" t="str">
        <f>IF(AD13="","",IF($E$8="土木","休",""))</f>
        <v>休</v>
      </c>
      <c r="AE17" s="202">
        <f>28-COUNTIF(C17:AD17,"夏")-COUNTIF(C17:AD17,"正")-COUNTIF(C17:AD17,"止")-COUNTIF(C17:AD17,"準")-COUNTIF(C17:AD17,"完")</f>
        <v>27</v>
      </c>
      <c r="AF17" s="203">
        <f>COUNTIF(C17:AD17,"休")</f>
        <v>9</v>
      </c>
      <c r="AG17" s="205">
        <f>28-COUNTIF(C18:AD18,"夏")-COUNTIF(C18:AD18,"正")-COUNTIF(C18:AD18,"止")-COUNTIF(C18:AD18,"準")-COUNTIF(C18:AD18,"完")</f>
        <v>28</v>
      </c>
      <c r="AH17" s="213">
        <f>COUNTIF(C18:AD18,"休")+COUNTIF(C18:AD18,"代")</f>
        <v>0</v>
      </c>
      <c r="AI17" s="181"/>
      <c r="AK17" s="38"/>
      <c r="AL17" s="38"/>
      <c r="AN17" s="74"/>
      <c r="AP17" s="72"/>
    </row>
    <row r="18" spans="1:43" ht="28.5" customHeight="1" thickBot="1">
      <c r="A18" s="363"/>
      <c r="B18" s="50" t="s">
        <v>5</v>
      </c>
      <c r="C18" s="219"/>
      <c r="D18" s="219"/>
      <c r="E18" s="219"/>
      <c r="F18" s="218"/>
      <c r="G18" s="218"/>
      <c r="H18" s="219"/>
      <c r="I18" s="219"/>
      <c r="J18" s="219"/>
      <c r="K18" s="219"/>
      <c r="L18" s="219"/>
      <c r="M18" s="218"/>
      <c r="N18" s="218"/>
      <c r="O18" s="219"/>
      <c r="P18" s="219"/>
      <c r="Q18" s="218"/>
      <c r="R18" s="219"/>
      <c r="S18" s="219"/>
      <c r="T18" s="218"/>
      <c r="U18" s="218"/>
      <c r="V18" s="219"/>
      <c r="W18" s="219"/>
      <c r="X18" s="218"/>
      <c r="Y18" s="219"/>
      <c r="Z18" s="219"/>
      <c r="AA18" s="218"/>
      <c r="AB18" s="218"/>
      <c r="AC18" s="219"/>
      <c r="AD18" s="219"/>
      <c r="AE18" s="473" t="str">
        <f>IF(AE15&gt;=0.285,"週休二日達成","未達成")</f>
        <v>週休二日達成</v>
      </c>
      <c r="AF18" s="474"/>
      <c r="AG18" s="475" t="str">
        <f>IF(AG15&gt;=0.285,"週休二日達成","未達成")</f>
        <v>未達成</v>
      </c>
      <c r="AH18" s="476"/>
      <c r="AK18" s="41">
        <f>ROUND(AF17/AE17,3)</f>
        <v>0.33300000000000002</v>
      </c>
      <c r="AL18" s="42">
        <f>IFERROR(ROUND(AH17/AG17,3),0)</f>
        <v>0</v>
      </c>
      <c r="AN18" s="226" t="s">
        <v>134</v>
      </c>
    </row>
    <row r="19" spans="1:43" ht="23.25" customHeight="1">
      <c r="A19" s="355" t="str">
        <f>IF(AK19="","","第２期")</f>
        <v/>
      </c>
      <c r="B19" s="209" t="s">
        <v>0</v>
      </c>
      <c r="C19" s="210" t="str">
        <f>IF($AK$15+$AD$12&lt;=$Q$7,$AK$15+$AD$12,"")</f>
        <v/>
      </c>
      <c r="D19" s="210" t="str">
        <f t="shared" ref="D19:AD19" si="3">IF($AK$15+$AJ19+C$12&lt;=$Q$7,$AK$15+$AJ19+C$12,"")</f>
        <v/>
      </c>
      <c r="E19" s="210" t="str">
        <f t="shared" si="3"/>
        <v/>
      </c>
      <c r="F19" s="210" t="str">
        <f t="shared" si="3"/>
        <v/>
      </c>
      <c r="G19" s="210" t="str">
        <f t="shared" si="3"/>
        <v/>
      </c>
      <c r="H19" s="210" t="str">
        <f t="shared" si="3"/>
        <v/>
      </c>
      <c r="I19" s="210" t="str">
        <f t="shared" si="3"/>
        <v/>
      </c>
      <c r="J19" s="210" t="str">
        <f t="shared" si="3"/>
        <v/>
      </c>
      <c r="K19" s="210" t="str">
        <f t="shared" si="3"/>
        <v/>
      </c>
      <c r="L19" s="210" t="str">
        <f t="shared" si="3"/>
        <v/>
      </c>
      <c r="M19" s="210" t="str">
        <f t="shared" si="3"/>
        <v/>
      </c>
      <c r="N19" s="210" t="str">
        <f t="shared" si="3"/>
        <v/>
      </c>
      <c r="O19" s="210" t="str">
        <f t="shared" si="3"/>
        <v/>
      </c>
      <c r="P19" s="210" t="str">
        <f t="shared" si="3"/>
        <v/>
      </c>
      <c r="Q19" s="210" t="str">
        <f t="shared" si="3"/>
        <v/>
      </c>
      <c r="R19" s="210" t="str">
        <f t="shared" si="3"/>
        <v/>
      </c>
      <c r="S19" s="210" t="str">
        <f t="shared" si="3"/>
        <v/>
      </c>
      <c r="T19" s="210" t="str">
        <f t="shared" si="3"/>
        <v/>
      </c>
      <c r="U19" s="210" t="str">
        <f t="shared" si="3"/>
        <v/>
      </c>
      <c r="V19" s="210" t="str">
        <f t="shared" si="3"/>
        <v/>
      </c>
      <c r="W19" s="210" t="str">
        <f t="shared" si="3"/>
        <v/>
      </c>
      <c r="X19" s="210" t="str">
        <f t="shared" si="3"/>
        <v/>
      </c>
      <c r="Y19" s="210" t="str">
        <f t="shared" si="3"/>
        <v/>
      </c>
      <c r="Z19" s="210" t="str">
        <f t="shared" si="3"/>
        <v/>
      </c>
      <c r="AA19" s="210" t="str">
        <f t="shared" si="3"/>
        <v/>
      </c>
      <c r="AB19" s="210" t="str">
        <f t="shared" si="3"/>
        <v/>
      </c>
      <c r="AC19" s="210" t="str">
        <f t="shared" si="3"/>
        <v/>
      </c>
      <c r="AD19" s="211" t="str">
        <f t="shared" si="3"/>
        <v/>
      </c>
      <c r="AE19" s="304" t="str">
        <f>IF(AK19="","","土日数")</f>
        <v/>
      </c>
      <c r="AF19" s="305"/>
      <c r="AG19" s="306" t="str">
        <f>IFERROR(NETWORKDAYS.INTL(AK19,IF(AL20="〇",AK20,$Q$7),"1111100"),"")</f>
        <v/>
      </c>
      <c r="AH19" s="307"/>
      <c r="AJ19" s="60">
        <v>28</v>
      </c>
      <c r="AK19" s="353" t="str">
        <f>IF($AK$15+AJ19&lt;=$AK$6,$AK$15+AJ19,"")</f>
        <v/>
      </c>
      <c r="AL19" s="353"/>
      <c r="AN19" s="226" t="s">
        <v>388</v>
      </c>
    </row>
    <row r="20" spans="1:43" ht="23.25" customHeight="1">
      <c r="A20" s="356"/>
      <c r="B20" s="54" t="s">
        <v>1</v>
      </c>
      <c r="C20" s="179" t="str">
        <f>IF($AK$15+$AD$12&lt;=$Q$7,$AK$15+$AD$12,"")</f>
        <v/>
      </c>
      <c r="D20" s="179" t="str">
        <f t="shared" ref="D20:AD20" si="4">IF($AK$15+$AJ19+C$12&lt;=$Q$7,$AK$15+$AJ19+C$12,"")</f>
        <v/>
      </c>
      <c r="E20" s="179" t="str">
        <f t="shared" si="4"/>
        <v/>
      </c>
      <c r="F20" s="179" t="str">
        <f t="shared" si="4"/>
        <v/>
      </c>
      <c r="G20" s="179" t="str">
        <f t="shared" si="4"/>
        <v/>
      </c>
      <c r="H20" s="179" t="str">
        <f t="shared" si="4"/>
        <v/>
      </c>
      <c r="I20" s="179" t="str">
        <f t="shared" si="4"/>
        <v/>
      </c>
      <c r="J20" s="179" t="str">
        <f t="shared" si="4"/>
        <v/>
      </c>
      <c r="K20" s="179" t="str">
        <f t="shared" si="4"/>
        <v/>
      </c>
      <c r="L20" s="179" t="str">
        <f t="shared" si="4"/>
        <v/>
      </c>
      <c r="M20" s="179" t="str">
        <f t="shared" si="4"/>
        <v/>
      </c>
      <c r="N20" s="179" t="str">
        <f t="shared" si="4"/>
        <v/>
      </c>
      <c r="O20" s="179" t="str">
        <f t="shared" si="4"/>
        <v/>
      </c>
      <c r="P20" s="179" t="str">
        <f t="shared" si="4"/>
        <v/>
      </c>
      <c r="Q20" s="179" t="str">
        <f t="shared" si="4"/>
        <v/>
      </c>
      <c r="R20" s="179" t="str">
        <f t="shared" si="4"/>
        <v/>
      </c>
      <c r="S20" s="179" t="str">
        <f t="shared" si="4"/>
        <v/>
      </c>
      <c r="T20" s="179" t="str">
        <f t="shared" si="4"/>
        <v/>
      </c>
      <c r="U20" s="179" t="str">
        <f t="shared" si="4"/>
        <v/>
      </c>
      <c r="V20" s="179" t="str">
        <f t="shared" si="4"/>
        <v/>
      </c>
      <c r="W20" s="179" t="str">
        <f t="shared" si="4"/>
        <v/>
      </c>
      <c r="X20" s="179" t="str">
        <f t="shared" si="4"/>
        <v/>
      </c>
      <c r="Y20" s="179" t="str">
        <f t="shared" si="4"/>
        <v/>
      </c>
      <c r="Z20" s="179" t="str">
        <f t="shared" si="4"/>
        <v/>
      </c>
      <c r="AA20" s="179" t="str">
        <f t="shared" si="4"/>
        <v/>
      </c>
      <c r="AB20" s="179" t="str">
        <f t="shared" si="4"/>
        <v/>
      </c>
      <c r="AC20" s="179" t="str">
        <f t="shared" si="4"/>
        <v/>
      </c>
      <c r="AD20" s="198" t="str">
        <f t="shared" si="4"/>
        <v/>
      </c>
      <c r="AE20" s="308" t="str">
        <f>IF(AK19="","","現場閉所率")</f>
        <v/>
      </c>
      <c r="AF20" s="309"/>
      <c r="AG20" s="314" t="str">
        <f>IF(AK19="","","現場閉所率")</f>
        <v/>
      </c>
      <c r="AH20" s="315"/>
      <c r="AJ20" s="31" t="s">
        <v>120</v>
      </c>
      <c r="AK20" s="197" t="str">
        <f>IFERROR(AK19+AJ19-1,"")</f>
        <v/>
      </c>
      <c r="AL20" s="197" t="str">
        <f>IFERROR(IF(AK20&lt;=$Q$7,"〇","×"),"")</f>
        <v>×</v>
      </c>
      <c r="AN20" s="178"/>
    </row>
    <row r="21" spans="1:43" ht="23.25" customHeight="1">
      <c r="A21" s="356"/>
      <c r="B21" s="8" t="s">
        <v>2</v>
      </c>
      <c r="C21" s="183" t="str">
        <f t="shared" ref="C21:AD21" si="5">TEXT(C20,"aaa")</f>
        <v/>
      </c>
      <c r="D21" s="183" t="str">
        <f t="shared" si="5"/>
        <v/>
      </c>
      <c r="E21" s="183" t="str">
        <f t="shared" si="5"/>
        <v/>
      </c>
      <c r="F21" s="183" t="str">
        <f t="shared" si="5"/>
        <v/>
      </c>
      <c r="G21" s="183" t="str">
        <f t="shared" si="5"/>
        <v/>
      </c>
      <c r="H21" s="183" t="str">
        <f t="shared" si="5"/>
        <v/>
      </c>
      <c r="I21" s="183" t="str">
        <f t="shared" si="5"/>
        <v/>
      </c>
      <c r="J21" s="183" t="str">
        <f t="shared" si="5"/>
        <v/>
      </c>
      <c r="K21" s="183" t="str">
        <f t="shared" si="5"/>
        <v/>
      </c>
      <c r="L21" s="183" t="str">
        <f t="shared" si="5"/>
        <v/>
      </c>
      <c r="M21" s="183" t="str">
        <f t="shared" si="5"/>
        <v/>
      </c>
      <c r="N21" s="183" t="str">
        <f t="shared" si="5"/>
        <v/>
      </c>
      <c r="O21" s="183" t="str">
        <f t="shared" si="5"/>
        <v/>
      </c>
      <c r="P21" s="183" t="str">
        <f t="shared" si="5"/>
        <v/>
      </c>
      <c r="Q21" s="183" t="str">
        <f t="shared" si="5"/>
        <v/>
      </c>
      <c r="R21" s="183" t="str">
        <f t="shared" si="5"/>
        <v/>
      </c>
      <c r="S21" s="183" t="str">
        <f t="shared" si="5"/>
        <v/>
      </c>
      <c r="T21" s="183" t="str">
        <f t="shared" si="5"/>
        <v/>
      </c>
      <c r="U21" s="183" t="str">
        <f t="shared" si="5"/>
        <v/>
      </c>
      <c r="V21" s="183" t="str">
        <f t="shared" si="5"/>
        <v/>
      </c>
      <c r="W21" s="183" t="str">
        <f t="shared" si="5"/>
        <v/>
      </c>
      <c r="X21" s="183" t="str">
        <f t="shared" si="5"/>
        <v/>
      </c>
      <c r="Y21" s="183" t="str">
        <f t="shared" si="5"/>
        <v/>
      </c>
      <c r="Z21" s="183" t="str">
        <f t="shared" si="5"/>
        <v/>
      </c>
      <c r="AA21" s="183" t="str">
        <f t="shared" si="5"/>
        <v/>
      </c>
      <c r="AB21" s="183" t="str">
        <f t="shared" si="5"/>
        <v/>
      </c>
      <c r="AC21" s="183" t="str">
        <f t="shared" si="5"/>
        <v/>
      </c>
      <c r="AD21" s="199" t="str">
        <f t="shared" si="5"/>
        <v/>
      </c>
      <c r="AE21" s="300" t="str">
        <f>IFERROR(ROUNDDOWN(AF23/AE23,4),"")</f>
        <v/>
      </c>
      <c r="AF21" s="301"/>
      <c r="AG21" s="302" t="str">
        <f>IFERROR(ROUNDDOWN(AH23/AG23,4),"")</f>
        <v/>
      </c>
      <c r="AH21" s="303"/>
      <c r="AK21" s="38"/>
      <c r="AL21" s="38"/>
      <c r="AN21" s="178"/>
    </row>
    <row r="22" spans="1:43" s="7" customFormat="1" ht="119.25" customHeight="1">
      <c r="A22" s="356"/>
      <c r="B22" s="6" t="s">
        <v>3</v>
      </c>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96"/>
      <c r="AE22" s="200" t="str">
        <f>IF(AK19="","","対象期間")</f>
        <v/>
      </c>
      <c r="AF22" s="201" t="str">
        <f>IF(AK19="","","閉所予定日数")</f>
        <v/>
      </c>
      <c r="AG22" s="204" t="str">
        <f>IF(AK19="","","対象期間")</f>
        <v/>
      </c>
      <c r="AH22" s="212" t="str">
        <f>IF(AK19="","","閉所実施日数")</f>
        <v/>
      </c>
      <c r="AI22" s="39"/>
      <c r="AJ22" s="39"/>
      <c r="AK22" s="40"/>
      <c r="AL22" s="40"/>
      <c r="AM22" s="39"/>
      <c r="AN22" s="39"/>
    </row>
    <row r="23" spans="1:43" ht="28.5" customHeight="1">
      <c r="A23" s="356"/>
      <c r="B23" s="5" t="s">
        <v>4</v>
      </c>
      <c r="C23" s="174" t="str">
        <f>IF(C19="","",IF($E$8="営繕","休",""))</f>
        <v/>
      </c>
      <c r="D23" s="174" t="str">
        <f>IF(D19="","",IF($E$8="営繕","休",""))</f>
        <v/>
      </c>
      <c r="E23" s="174"/>
      <c r="F23" s="174"/>
      <c r="G23" s="174"/>
      <c r="H23" s="174" t="str">
        <f>IF(H19="","",IF($E$8="土木","休",""))</f>
        <v/>
      </c>
      <c r="I23" s="174" t="str">
        <f>IF(I19="","",IF($E$8="土木","休",""))</f>
        <v/>
      </c>
      <c r="J23" s="174" t="str">
        <f>IF(J19="","",IF($E$8="営繕","休",""))</f>
        <v/>
      </c>
      <c r="K23" s="174" t="str">
        <f>IF(K19="","",IF($E$8="営繕","休",""))</f>
        <v/>
      </c>
      <c r="L23" s="174"/>
      <c r="M23" s="174"/>
      <c r="N23" s="174"/>
      <c r="O23" s="174" t="str">
        <f>IF(O19="","",IF($E$8="土木","休",""))</f>
        <v/>
      </c>
      <c r="P23" s="174" t="str">
        <f>IF(P19="","",IF($E$8="土木","休",""))</f>
        <v/>
      </c>
      <c r="Q23" s="174" t="str">
        <f>IF(Q19="","",IF($E$8="営繕","休",""))</f>
        <v/>
      </c>
      <c r="R23" s="174" t="str">
        <f>IF(R19="","",IF($E$8="営繕","休",""))</f>
        <v/>
      </c>
      <c r="S23" s="174"/>
      <c r="T23" s="174"/>
      <c r="U23" s="174"/>
      <c r="V23" s="174" t="str">
        <f>IF(V19="","",IF($E$8="土木","休",""))</f>
        <v/>
      </c>
      <c r="W23" s="174" t="str">
        <f>IF(W19="","",IF($E$8="土木","休",""))</f>
        <v/>
      </c>
      <c r="X23" s="174" t="str">
        <f>IF(X19="","",IF($E$8="営繕","休",""))</f>
        <v/>
      </c>
      <c r="Y23" s="174" t="str">
        <f>IF(Y19="","",IF($E$8="営繕","休",""))</f>
        <v/>
      </c>
      <c r="Z23" s="174"/>
      <c r="AA23" s="174"/>
      <c r="AB23" s="174"/>
      <c r="AC23" s="174" t="str">
        <f>IF(AC19="","",IF($E$8="土木","休",""))</f>
        <v/>
      </c>
      <c r="AD23" s="174" t="str">
        <f>IF(AD19="","",IF($E$8="土木","休",""))</f>
        <v/>
      </c>
      <c r="AE23" s="202" t="str">
        <f>IF(AK20="","",28-COUNTIF(C23:AD23,"夏")-COUNTIF(C23:AD23,"正")-COUNTIF(C23:AD23,"止")-COUNTIF(C23:AD23,"準")-COUNTIF(C23:AD23,"完"))</f>
        <v/>
      </c>
      <c r="AF23" s="256" t="str">
        <f>IF(AK20="","",COUNTIF(C23:AD23,"休"))</f>
        <v/>
      </c>
      <c r="AG23" s="205" t="str">
        <f>IF(AK20="","",28-COUNTIF(C24:AD24,"夏")-COUNTIF(C24:AD24,"正")-COUNTIF(C24:AD24,"止")-COUNTIF(C24:AD24,"準")-COUNTIF(C24:AD24,"完"))</f>
        <v/>
      </c>
      <c r="AH23" s="213" t="str">
        <f>IF(AK20="","",COUNTIF(C24:AD24,"休")+COUNTIF(C24:AD24,"代"))</f>
        <v/>
      </c>
      <c r="AI23" s="74"/>
      <c r="AJ23" s="60" t="str">
        <f>IFERROR(IF(AK20&gt;$Q$7,$Q$7-AK19+1-COUNTIF(C23:AD23,"夏")-COUNTIF(C23:AD23,"正")-COUNTIF(C23:AD23,"止")-COUNTIF(C23:AD23,"準")-COUNTIF(C23:AD23,"完"),28-COUNTIF(C23:AD23,"夏")-COUNTIF(C23:AD23,"正")-COUNTIF(C23:AD23,"止")-COUNTIF(C23:AD23,"準")-COUNTIF(C23:AD23,"完")),"")</f>
        <v/>
      </c>
      <c r="AK23" s="38"/>
      <c r="AL23" s="38"/>
      <c r="AN23" s="178"/>
      <c r="AO23" s="72"/>
      <c r="AQ23" s="72"/>
    </row>
    <row r="24" spans="1:43" ht="28.5" customHeight="1" thickBot="1">
      <c r="A24" s="357"/>
      <c r="B24" s="214" t="s">
        <v>5</v>
      </c>
      <c r="C24" s="216"/>
      <c r="D24" s="216"/>
      <c r="E24" s="216"/>
      <c r="F24" s="216"/>
      <c r="G24" s="216"/>
      <c r="H24" s="215"/>
      <c r="I24" s="215"/>
      <c r="J24" s="216"/>
      <c r="K24" s="215"/>
      <c r="L24" s="216"/>
      <c r="M24" s="216"/>
      <c r="N24" s="216"/>
      <c r="O24" s="215"/>
      <c r="P24" s="215"/>
      <c r="Q24" s="216"/>
      <c r="R24" s="215"/>
      <c r="S24" s="216"/>
      <c r="T24" s="216"/>
      <c r="U24" s="216"/>
      <c r="V24" s="215"/>
      <c r="W24" s="215"/>
      <c r="X24" s="216"/>
      <c r="Y24" s="215"/>
      <c r="Z24" s="216"/>
      <c r="AA24" s="216"/>
      <c r="AB24" s="216"/>
      <c r="AC24" s="215"/>
      <c r="AD24" s="217"/>
      <c r="AE24" s="477" t="str">
        <f>IF(AK20="","",IF(AE21&gt;=0.285,"週休二日達成","未達成"))</f>
        <v/>
      </c>
      <c r="AF24" s="478"/>
      <c r="AG24" s="479" t="str">
        <f>IF(AK20="","",IF(AG21&gt;=0.285,"週休二日達成","未達成"))</f>
        <v/>
      </c>
      <c r="AH24" s="480"/>
      <c r="AJ24" s="60"/>
      <c r="AK24" s="41">
        <f>IFERROR(ROUND(AF23/AE23,3),0)</f>
        <v>0</v>
      </c>
      <c r="AL24" s="42">
        <f>IFERROR(ROUND(AH23/AG23,3),0)</f>
        <v>0</v>
      </c>
      <c r="AN24" s="60"/>
    </row>
    <row r="25" spans="1:43" ht="23.25" customHeight="1">
      <c r="A25" s="364" t="str">
        <f>IF(AK25="","","第３期")</f>
        <v/>
      </c>
      <c r="B25" s="53" t="s">
        <v>0</v>
      </c>
      <c r="C25" s="208" t="str">
        <f>IF($AK$15+$AD$12+$AJ19&lt;=$Q$7,$AK$15+$AD$12+$AJ19,"")</f>
        <v/>
      </c>
      <c r="D25" s="208" t="str">
        <f t="shared" ref="D25:AD25" si="6">IF($AK$15+$AJ25+C$12&lt;=$Q$7,$AK$15+$AJ25+C$12,"")</f>
        <v/>
      </c>
      <c r="E25" s="208" t="str">
        <f t="shared" si="6"/>
        <v/>
      </c>
      <c r="F25" s="208" t="str">
        <f t="shared" si="6"/>
        <v/>
      </c>
      <c r="G25" s="208" t="str">
        <f t="shared" si="6"/>
        <v/>
      </c>
      <c r="H25" s="208" t="str">
        <f t="shared" si="6"/>
        <v/>
      </c>
      <c r="I25" s="208" t="str">
        <f t="shared" si="6"/>
        <v/>
      </c>
      <c r="J25" s="208" t="str">
        <f t="shared" si="6"/>
        <v/>
      </c>
      <c r="K25" s="208" t="str">
        <f t="shared" si="6"/>
        <v/>
      </c>
      <c r="L25" s="208" t="str">
        <f t="shared" si="6"/>
        <v/>
      </c>
      <c r="M25" s="208" t="str">
        <f t="shared" si="6"/>
        <v/>
      </c>
      <c r="N25" s="208" t="str">
        <f t="shared" si="6"/>
        <v/>
      </c>
      <c r="O25" s="208" t="str">
        <f t="shared" si="6"/>
        <v/>
      </c>
      <c r="P25" s="208" t="str">
        <f t="shared" si="6"/>
        <v/>
      </c>
      <c r="Q25" s="208" t="str">
        <f t="shared" si="6"/>
        <v/>
      </c>
      <c r="R25" s="208" t="str">
        <f t="shared" si="6"/>
        <v/>
      </c>
      <c r="S25" s="208" t="str">
        <f t="shared" si="6"/>
        <v/>
      </c>
      <c r="T25" s="208" t="str">
        <f t="shared" si="6"/>
        <v/>
      </c>
      <c r="U25" s="208" t="str">
        <f t="shared" si="6"/>
        <v/>
      </c>
      <c r="V25" s="208" t="str">
        <f t="shared" si="6"/>
        <v/>
      </c>
      <c r="W25" s="208" t="str">
        <f t="shared" si="6"/>
        <v/>
      </c>
      <c r="X25" s="208" t="str">
        <f t="shared" si="6"/>
        <v/>
      </c>
      <c r="Y25" s="208" t="str">
        <f t="shared" si="6"/>
        <v/>
      </c>
      <c r="Z25" s="208" t="str">
        <f t="shared" si="6"/>
        <v/>
      </c>
      <c r="AA25" s="208" t="str">
        <f t="shared" si="6"/>
        <v/>
      </c>
      <c r="AB25" s="208" t="str">
        <f t="shared" si="6"/>
        <v/>
      </c>
      <c r="AC25" s="208" t="str">
        <f t="shared" si="6"/>
        <v/>
      </c>
      <c r="AD25" s="221" t="str">
        <f t="shared" si="6"/>
        <v/>
      </c>
      <c r="AE25" s="304" t="str">
        <f>IF(AK25="","","土日数")</f>
        <v/>
      </c>
      <c r="AF25" s="305"/>
      <c r="AG25" s="306" t="str">
        <f>IFERROR(NETWORKDAYS.INTL(AK25,IF(AL26="〇",AK26,$Q$7),"1111100"),"")</f>
        <v/>
      </c>
      <c r="AH25" s="307"/>
      <c r="AJ25" s="31">
        <f>AJ19*2</f>
        <v>56</v>
      </c>
      <c r="AK25" s="353" t="str">
        <f>IF($AK$15+AJ25&lt;=$AK$6,$AK$15+AJ25,"")</f>
        <v/>
      </c>
      <c r="AL25" s="353"/>
    </row>
    <row r="26" spans="1:43" ht="23.25" customHeight="1">
      <c r="A26" s="356"/>
      <c r="B26" s="54" t="s">
        <v>1</v>
      </c>
      <c r="C26" s="179" t="str">
        <f>IF($AK$15+$AD$12+$AJ19&lt;=$Q$7,$AK$15+$AD$12+$AJ19,"")</f>
        <v/>
      </c>
      <c r="D26" s="179" t="str">
        <f t="shared" ref="D26:AD26" si="7">IF($AK$15+$AJ25+C$12&lt;=$Q$7,$AK$15+$AJ25+C$12,"")</f>
        <v/>
      </c>
      <c r="E26" s="179" t="str">
        <f t="shared" si="7"/>
        <v/>
      </c>
      <c r="F26" s="179" t="str">
        <f t="shared" si="7"/>
        <v/>
      </c>
      <c r="G26" s="179" t="str">
        <f t="shared" si="7"/>
        <v/>
      </c>
      <c r="H26" s="179" t="str">
        <f t="shared" si="7"/>
        <v/>
      </c>
      <c r="I26" s="179" t="str">
        <f t="shared" si="7"/>
        <v/>
      </c>
      <c r="J26" s="179" t="str">
        <f t="shared" si="7"/>
        <v/>
      </c>
      <c r="K26" s="179" t="str">
        <f t="shared" si="7"/>
        <v/>
      </c>
      <c r="L26" s="179" t="str">
        <f t="shared" si="7"/>
        <v/>
      </c>
      <c r="M26" s="179" t="str">
        <f t="shared" si="7"/>
        <v/>
      </c>
      <c r="N26" s="179" t="str">
        <f t="shared" si="7"/>
        <v/>
      </c>
      <c r="O26" s="179" t="str">
        <f t="shared" si="7"/>
        <v/>
      </c>
      <c r="P26" s="179" t="str">
        <f t="shared" si="7"/>
        <v/>
      </c>
      <c r="Q26" s="179" t="str">
        <f t="shared" si="7"/>
        <v/>
      </c>
      <c r="R26" s="179" t="str">
        <f t="shared" si="7"/>
        <v/>
      </c>
      <c r="S26" s="179" t="str">
        <f t="shared" si="7"/>
        <v/>
      </c>
      <c r="T26" s="179" t="str">
        <f t="shared" si="7"/>
        <v/>
      </c>
      <c r="U26" s="179" t="str">
        <f t="shared" si="7"/>
        <v/>
      </c>
      <c r="V26" s="179" t="str">
        <f t="shared" si="7"/>
        <v/>
      </c>
      <c r="W26" s="179" t="str">
        <f t="shared" si="7"/>
        <v/>
      </c>
      <c r="X26" s="179" t="str">
        <f t="shared" si="7"/>
        <v/>
      </c>
      <c r="Y26" s="179" t="str">
        <f t="shared" si="7"/>
        <v/>
      </c>
      <c r="Z26" s="179" t="str">
        <f t="shared" si="7"/>
        <v/>
      </c>
      <c r="AA26" s="179" t="str">
        <f t="shared" si="7"/>
        <v/>
      </c>
      <c r="AB26" s="179" t="str">
        <f t="shared" si="7"/>
        <v/>
      </c>
      <c r="AC26" s="179" t="str">
        <f t="shared" si="7"/>
        <v/>
      </c>
      <c r="AD26" s="198" t="str">
        <f t="shared" si="7"/>
        <v/>
      </c>
      <c r="AE26" s="308" t="str">
        <f>IF(AK25="","","現場閉所率")</f>
        <v/>
      </c>
      <c r="AF26" s="309"/>
      <c r="AG26" s="314" t="str">
        <f>IF(AK25="","","現場閉所率")</f>
        <v/>
      </c>
      <c r="AH26" s="315"/>
      <c r="AK26" s="197" t="str">
        <f>IFERROR(AK25+28-1,"")</f>
        <v/>
      </c>
      <c r="AL26" s="197" t="str">
        <f>IFERROR(IF(AK26&lt;=$Q$7,"〇","×"),"")</f>
        <v>×</v>
      </c>
    </row>
    <row r="27" spans="1:43" ht="23.25" customHeight="1">
      <c r="A27" s="356"/>
      <c r="B27" s="8" t="s">
        <v>2</v>
      </c>
      <c r="C27" s="183" t="str">
        <f>TEXT(C26,"aaa")</f>
        <v/>
      </c>
      <c r="D27" s="183" t="str">
        <f t="shared" ref="D27:AD27" si="8">TEXT(D26,"aaa")</f>
        <v/>
      </c>
      <c r="E27" s="183" t="str">
        <f t="shared" si="8"/>
        <v/>
      </c>
      <c r="F27" s="183" t="str">
        <f t="shared" si="8"/>
        <v/>
      </c>
      <c r="G27" s="183" t="str">
        <f t="shared" si="8"/>
        <v/>
      </c>
      <c r="H27" s="183" t="str">
        <f t="shared" si="8"/>
        <v/>
      </c>
      <c r="I27" s="183" t="str">
        <f t="shared" si="8"/>
        <v/>
      </c>
      <c r="J27" s="183" t="str">
        <f t="shared" si="8"/>
        <v/>
      </c>
      <c r="K27" s="183" t="str">
        <f t="shared" si="8"/>
        <v/>
      </c>
      <c r="L27" s="183" t="str">
        <f t="shared" si="8"/>
        <v/>
      </c>
      <c r="M27" s="183" t="str">
        <f t="shared" si="8"/>
        <v/>
      </c>
      <c r="N27" s="183" t="str">
        <f t="shared" si="8"/>
        <v/>
      </c>
      <c r="O27" s="183" t="str">
        <f t="shared" si="8"/>
        <v/>
      </c>
      <c r="P27" s="183" t="str">
        <f t="shared" si="8"/>
        <v/>
      </c>
      <c r="Q27" s="183" t="str">
        <f t="shared" si="8"/>
        <v/>
      </c>
      <c r="R27" s="183" t="str">
        <f t="shared" si="8"/>
        <v/>
      </c>
      <c r="S27" s="183" t="str">
        <f t="shared" si="8"/>
        <v/>
      </c>
      <c r="T27" s="183" t="str">
        <f t="shared" si="8"/>
        <v/>
      </c>
      <c r="U27" s="183" t="str">
        <f t="shared" si="8"/>
        <v/>
      </c>
      <c r="V27" s="183" t="str">
        <f t="shared" si="8"/>
        <v/>
      </c>
      <c r="W27" s="183" t="str">
        <f t="shared" si="8"/>
        <v/>
      </c>
      <c r="X27" s="183" t="str">
        <f t="shared" si="8"/>
        <v/>
      </c>
      <c r="Y27" s="183" t="str">
        <f t="shared" si="8"/>
        <v/>
      </c>
      <c r="Z27" s="183" t="str">
        <f t="shared" si="8"/>
        <v/>
      </c>
      <c r="AA27" s="183" t="str">
        <f t="shared" si="8"/>
        <v/>
      </c>
      <c r="AB27" s="183" t="str">
        <f t="shared" si="8"/>
        <v/>
      </c>
      <c r="AC27" s="183" t="str">
        <f t="shared" si="8"/>
        <v/>
      </c>
      <c r="AD27" s="199" t="str">
        <f t="shared" si="8"/>
        <v/>
      </c>
      <c r="AE27" s="300" t="str">
        <f>IFERROR(ROUNDDOWN(AF29/AE29,4),"")</f>
        <v/>
      </c>
      <c r="AF27" s="301"/>
      <c r="AG27" s="302" t="str">
        <f>IFERROR(ROUNDDOWN(AH29/AG29,4),"")</f>
        <v/>
      </c>
      <c r="AH27" s="303"/>
      <c r="AK27" s="38"/>
      <c r="AL27" s="38"/>
    </row>
    <row r="28" spans="1:43" s="7" customFormat="1" ht="119.25" customHeight="1">
      <c r="A28" s="356"/>
      <c r="B28" s="6" t="s">
        <v>3</v>
      </c>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96"/>
      <c r="AE28" s="200" t="str">
        <f>IF(AK25="","","対象期間")</f>
        <v/>
      </c>
      <c r="AF28" s="201" t="str">
        <f>IF(AK25="","","閉所予定日数")</f>
        <v/>
      </c>
      <c r="AG28" s="204" t="str">
        <f>IF(AK25="","","対象期間")</f>
        <v/>
      </c>
      <c r="AH28" s="212" t="str">
        <f>IF(AK25="","","閉所実施日数")</f>
        <v/>
      </c>
      <c r="AI28" s="39"/>
      <c r="AJ28" s="31"/>
      <c r="AK28" s="40"/>
      <c r="AL28" s="40"/>
      <c r="AM28" s="39"/>
      <c r="AN28" s="39"/>
    </row>
    <row r="29" spans="1:43" ht="28.5" customHeight="1">
      <c r="A29" s="356"/>
      <c r="B29" s="5" t="s">
        <v>4</v>
      </c>
      <c r="C29" s="174" t="str">
        <f>IF(C25="","",IF($E$8="営繕","休",""))</f>
        <v/>
      </c>
      <c r="D29" s="174" t="str">
        <f>IF(D25="","",IF($E$8="営繕","休",""))</f>
        <v/>
      </c>
      <c r="E29" s="174"/>
      <c r="F29" s="174"/>
      <c r="G29" s="174"/>
      <c r="H29" s="174" t="str">
        <f>IF(H25="","",IF($E$8="土木","休",""))</f>
        <v/>
      </c>
      <c r="I29" s="174" t="str">
        <f>IF(I25="","",IF($E$8="土木","休",""))</f>
        <v/>
      </c>
      <c r="J29" s="174" t="str">
        <f>IF(J25="","",IF($E$8="営繕","休",""))</f>
        <v/>
      </c>
      <c r="K29" s="174" t="str">
        <f>IF(K25="","",IF($E$8="営繕","休",""))</f>
        <v/>
      </c>
      <c r="L29" s="174"/>
      <c r="M29" s="174"/>
      <c r="N29" s="174"/>
      <c r="O29" s="174" t="str">
        <f>IF(O25="","",IF($E$8="土木","休",""))</f>
        <v/>
      </c>
      <c r="P29" s="174" t="str">
        <f>IF(P25="","",IF($E$8="土木","休",""))</f>
        <v/>
      </c>
      <c r="Q29" s="174" t="str">
        <f>IF(Q25="","",IF($E$8="営繕","休",""))</f>
        <v/>
      </c>
      <c r="R29" s="174" t="str">
        <f>IF(R25="","",IF($E$8="営繕","休",""))</f>
        <v/>
      </c>
      <c r="S29" s="174"/>
      <c r="T29" s="174"/>
      <c r="U29" s="174"/>
      <c r="V29" s="174" t="str">
        <f>IF(V25="","",IF($E$8="土木","休",""))</f>
        <v/>
      </c>
      <c r="W29" s="174" t="str">
        <f>IF(W25="","",IF($E$8="土木","休",""))</f>
        <v/>
      </c>
      <c r="X29" s="174" t="str">
        <f>IF(X25="","",IF($E$8="営繕","休",""))</f>
        <v/>
      </c>
      <c r="Y29" s="174" t="str">
        <f>IF(Y25="","",IF($E$8="営繕","休",""))</f>
        <v/>
      </c>
      <c r="Z29" s="174"/>
      <c r="AA29" s="174"/>
      <c r="AB29" s="174"/>
      <c r="AC29" s="174" t="str">
        <f>IF(AC25="","",IF($E$8="土木","休",""))</f>
        <v/>
      </c>
      <c r="AD29" s="174" t="str">
        <f>IF(AD25="","",IF($E$8="土木","休",""))</f>
        <v/>
      </c>
      <c r="AE29" s="202" t="str">
        <f>IF(AK26="","",28-COUNTIF(C29:AD29,"夏")-COUNTIF(C29:AD29,"正")-COUNTIF(C29:AD29,"止")-COUNTIF(C29:AD29,"準")-COUNTIF(C29:AD29,"完"))</f>
        <v/>
      </c>
      <c r="AF29" s="203" t="str">
        <f>IF(AK26="","",COUNTIF(C29:AD29,"休"))</f>
        <v/>
      </c>
      <c r="AG29" s="205" t="str">
        <f>IF(AK26="","",28-COUNTIF(C30:AD30,"夏")-COUNTIF(C30:AD30,"正")-COUNTIF(C30:AD30,"止")-COUNTIF(C30:AD30,"準")-COUNTIF(C30:AD30,"完"))</f>
        <v/>
      </c>
      <c r="AH29" s="213" t="str">
        <f>IF(AK26="","",COUNTIF(C30:AD30,"休")+COUNTIF(C30:AD30,"代"))</f>
        <v/>
      </c>
      <c r="AJ29" s="60" t="str">
        <f>IFERROR(IF(AK26&gt;$Q$7,$Q$7-AK25+1-COUNTIF(C29:AD29,"夏")-COUNTIF(C29:AD29,"正")-COUNTIF(C29:AD29,"止")-COUNTIF(C29:AD29,"準")-COUNTIF(C29:AD29,"完"),28-COUNTIF(C29:AD29,"夏")-COUNTIF(C29:AD29,"正")-COUNTIF(C29:AD29,"止")-COUNTIF(C29:AD29,"準")-COUNTIF(C29:AD29,"完")),"")</f>
        <v/>
      </c>
      <c r="AK29" s="38"/>
      <c r="AL29" s="38"/>
    </row>
    <row r="30" spans="1:43" ht="28.5" customHeight="1" thickBot="1">
      <c r="A30" s="357"/>
      <c r="B30" s="214" t="s">
        <v>5</v>
      </c>
      <c r="C30" s="216"/>
      <c r="D30" s="216"/>
      <c r="E30" s="216"/>
      <c r="F30" s="215"/>
      <c r="G30" s="215"/>
      <c r="H30" s="215"/>
      <c r="I30" s="216"/>
      <c r="J30" s="216"/>
      <c r="K30" s="216"/>
      <c r="L30" s="216"/>
      <c r="M30" s="215"/>
      <c r="N30" s="215"/>
      <c r="O30" s="215"/>
      <c r="P30" s="215"/>
      <c r="Q30" s="215"/>
      <c r="R30" s="216"/>
      <c r="S30" s="216"/>
      <c r="T30" s="215"/>
      <c r="U30" s="215"/>
      <c r="V30" s="215"/>
      <c r="W30" s="216"/>
      <c r="X30" s="216"/>
      <c r="Y30" s="216"/>
      <c r="Z30" s="216"/>
      <c r="AA30" s="215"/>
      <c r="AB30" s="215"/>
      <c r="AC30" s="215"/>
      <c r="AD30" s="220"/>
      <c r="AE30" s="477" t="str">
        <f>IF(AK26="","",IF(AE27&gt;=0.285,"週休二日達成","未達成"))</f>
        <v/>
      </c>
      <c r="AF30" s="478"/>
      <c r="AG30" s="479" t="str">
        <f>IF(AK26="","",IF(AG27&gt;=0.285,"週休二日達成","未達成"))</f>
        <v/>
      </c>
      <c r="AH30" s="480"/>
      <c r="AJ30" s="60"/>
      <c r="AK30" s="41">
        <f>IFERROR(ROUND(AF29/AE29,3),0)</f>
        <v>0</v>
      </c>
      <c r="AL30" s="42">
        <f>IFERROR(ROUND(AH29/AG29,3),0)</f>
        <v>0</v>
      </c>
    </row>
    <row r="31" spans="1:43" ht="23.25" customHeight="1">
      <c r="A31" s="364" t="str">
        <f>IF(AK31="","","第４期")</f>
        <v/>
      </c>
      <c r="B31" s="53" t="s">
        <v>0</v>
      </c>
      <c r="C31" s="208" t="str">
        <f>IF($AK$15+$AD$12+$AJ25&lt;=$Q$7,$AK$15+$AD$12+$AJ25,"")</f>
        <v/>
      </c>
      <c r="D31" s="208" t="str">
        <f t="shared" ref="D31:AD31" si="9">IF($AK$15+$AJ31+C$12&lt;=$Q$7,$AK$15+$AJ31+C$12,"")</f>
        <v/>
      </c>
      <c r="E31" s="208" t="str">
        <f t="shared" si="9"/>
        <v/>
      </c>
      <c r="F31" s="208" t="str">
        <f t="shared" si="9"/>
        <v/>
      </c>
      <c r="G31" s="208" t="str">
        <f t="shared" si="9"/>
        <v/>
      </c>
      <c r="H31" s="208" t="str">
        <f t="shared" si="9"/>
        <v/>
      </c>
      <c r="I31" s="208" t="str">
        <f t="shared" si="9"/>
        <v/>
      </c>
      <c r="J31" s="208" t="str">
        <f t="shared" si="9"/>
        <v/>
      </c>
      <c r="K31" s="208" t="str">
        <f t="shared" si="9"/>
        <v/>
      </c>
      <c r="L31" s="208" t="str">
        <f t="shared" si="9"/>
        <v/>
      </c>
      <c r="M31" s="208" t="str">
        <f t="shared" si="9"/>
        <v/>
      </c>
      <c r="N31" s="208" t="str">
        <f t="shared" si="9"/>
        <v/>
      </c>
      <c r="O31" s="208" t="str">
        <f t="shared" si="9"/>
        <v/>
      </c>
      <c r="P31" s="208" t="str">
        <f t="shared" si="9"/>
        <v/>
      </c>
      <c r="Q31" s="208" t="str">
        <f t="shared" si="9"/>
        <v/>
      </c>
      <c r="R31" s="208" t="str">
        <f t="shared" si="9"/>
        <v/>
      </c>
      <c r="S31" s="208" t="str">
        <f t="shared" si="9"/>
        <v/>
      </c>
      <c r="T31" s="208" t="str">
        <f t="shared" si="9"/>
        <v/>
      </c>
      <c r="U31" s="208" t="str">
        <f t="shared" si="9"/>
        <v/>
      </c>
      <c r="V31" s="208" t="str">
        <f t="shared" si="9"/>
        <v/>
      </c>
      <c r="W31" s="208" t="str">
        <f t="shared" si="9"/>
        <v/>
      </c>
      <c r="X31" s="208" t="str">
        <f t="shared" si="9"/>
        <v/>
      </c>
      <c r="Y31" s="208" t="str">
        <f t="shared" si="9"/>
        <v/>
      </c>
      <c r="Z31" s="208" t="str">
        <f t="shared" si="9"/>
        <v/>
      </c>
      <c r="AA31" s="208" t="str">
        <f t="shared" si="9"/>
        <v/>
      </c>
      <c r="AB31" s="208" t="str">
        <f t="shared" si="9"/>
        <v/>
      </c>
      <c r="AC31" s="208" t="str">
        <f t="shared" si="9"/>
        <v/>
      </c>
      <c r="AD31" s="208" t="str">
        <f t="shared" si="9"/>
        <v/>
      </c>
      <c r="AE31" s="304" t="str">
        <f>IF(AK31="","","土日数")</f>
        <v/>
      </c>
      <c r="AF31" s="305"/>
      <c r="AG31" s="306" t="str">
        <f>IFERROR(NETWORKDAYS.INTL(AK31,IF(AL32="〇",AK32,$Q$7),"1111100"),"")</f>
        <v/>
      </c>
      <c r="AH31" s="307"/>
      <c r="AJ31" s="60">
        <f>28*3</f>
        <v>84</v>
      </c>
      <c r="AK31" s="353" t="str">
        <f>IF($AK$15+AJ31&lt;=$AK$6,$AK$15+AJ31,"")</f>
        <v/>
      </c>
      <c r="AL31" s="353"/>
    </row>
    <row r="32" spans="1:43" ht="23.25" customHeight="1">
      <c r="A32" s="356"/>
      <c r="B32" s="54" t="s">
        <v>1</v>
      </c>
      <c r="C32" s="179" t="str">
        <f>IF($AK$15+$AD$12+$AJ25&lt;=$Q$7,$AK$15+$AD$12+$AJ25,"")</f>
        <v/>
      </c>
      <c r="D32" s="179" t="str">
        <f t="shared" ref="D32:AD32" si="10">IF($AK$15+$AJ31+C$12&lt;=$Q$7,$AK$15+$AJ31+C$12,"")</f>
        <v/>
      </c>
      <c r="E32" s="179" t="str">
        <f t="shared" si="10"/>
        <v/>
      </c>
      <c r="F32" s="179" t="str">
        <f t="shared" si="10"/>
        <v/>
      </c>
      <c r="G32" s="179" t="str">
        <f t="shared" si="10"/>
        <v/>
      </c>
      <c r="H32" s="179" t="str">
        <f t="shared" si="10"/>
        <v/>
      </c>
      <c r="I32" s="179" t="str">
        <f t="shared" si="10"/>
        <v/>
      </c>
      <c r="J32" s="179" t="str">
        <f t="shared" si="10"/>
        <v/>
      </c>
      <c r="K32" s="179" t="str">
        <f t="shared" si="10"/>
        <v/>
      </c>
      <c r="L32" s="179" t="str">
        <f t="shared" si="10"/>
        <v/>
      </c>
      <c r="M32" s="179" t="str">
        <f t="shared" si="10"/>
        <v/>
      </c>
      <c r="N32" s="179" t="str">
        <f t="shared" si="10"/>
        <v/>
      </c>
      <c r="O32" s="179" t="str">
        <f t="shared" si="10"/>
        <v/>
      </c>
      <c r="P32" s="179" t="str">
        <f t="shared" si="10"/>
        <v/>
      </c>
      <c r="Q32" s="179" t="str">
        <f t="shared" si="10"/>
        <v/>
      </c>
      <c r="R32" s="179" t="str">
        <f t="shared" si="10"/>
        <v/>
      </c>
      <c r="S32" s="179" t="str">
        <f t="shared" si="10"/>
        <v/>
      </c>
      <c r="T32" s="179" t="str">
        <f t="shared" si="10"/>
        <v/>
      </c>
      <c r="U32" s="179" t="str">
        <f t="shared" si="10"/>
        <v/>
      </c>
      <c r="V32" s="179" t="str">
        <f t="shared" si="10"/>
        <v/>
      </c>
      <c r="W32" s="179" t="str">
        <f t="shared" si="10"/>
        <v/>
      </c>
      <c r="X32" s="179" t="str">
        <f t="shared" si="10"/>
        <v/>
      </c>
      <c r="Y32" s="179" t="str">
        <f t="shared" si="10"/>
        <v/>
      </c>
      <c r="Z32" s="179" t="str">
        <f t="shared" si="10"/>
        <v/>
      </c>
      <c r="AA32" s="179" t="str">
        <f t="shared" si="10"/>
        <v/>
      </c>
      <c r="AB32" s="179" t="str">
        <f t="shared" si="10"/>
        <v/>
      </c>
      <c r="AC32" s="179" t="str">
        <f t="shared" si="10"/>
        <v/>
      </c>
      <c r="AD32" s="179" t="str">
        <f t="shared" si="10"/>
        <v/>
      </c>
      <c r="AE32" s="308" t="str">
        <f>IF(AK31="","","現場閉所率")</f>
        <v/>
      </c>
      <c r="AF32" s="309"/>
      <c r="AG32" s="314" t="str">
        <f>IF(AK31="","","現場閉所率")</f>
        <v/>
      </c>
      <c r="AH32" s="315"/>
      <c r="AK32" s="197" t="str">
        <f>IFERROR(AK31+28-1,"")</f>
        <v/>
      </c>
      <c r="AL32" s="197" t="str">
        <f>IFERROR(IF(AK32&lt;=$Q$7,"〇","×"),"")</f>
        <v>×</v>
      </c>
    </row>
    <row r="33" spans="1:40" ht="23.25" customHeight="1">
      <c r="A33" s="356"/>
      <c r="B33" s="8" t="s">
        <v>2</v>
      </c>
      <c r="C33" s="183" t="str">
        <f t="shared" ref="C33:AD33" si="11">TEXT(C32,"aaa")</f>
        <v/>
      </c>
      <c r="D33" s="183" t="str">
        <f t="shared" si="11"/>
        <v/>
      </c>
      <c r="E33" s="183" t="str">
        <f t="shared" si="11"/>
        <v/>
      </c>
      <c r="F33" s="183" t="str">
        <f t="shared" si="11"/>
        <v/>
      </c>
      <c r="G33" s="183" t="str">
        <f t="shared" si="11"/>
        <v/>
      </c>
      <c r="H33" s="183" t="str">
        <f t="shared" si="11"/>
        <v/>
      </c>
      <c r="I33" s="183" t="str">
        <f t="shared" si="11"/>
        <v/>
      </c>
      <c r="J33" s="183" t="str">
        <f t="shared" si="11"/>
        <v/>
      </c>
      <c r="K33" s="183" t="str">
        <f t="shared" si="11"/>
        <v/>
      </c>
      <c r="L33" s="183" t="str">
        <f t="shared" si="11"/>
        <v/>
      </c>
      <c r="M33" s="183" t="str">
        <f t="shared" si="11"/>
        <v/>
      </c>
      <c r="N33" s="183" t="str">
        <f t="shared" si="11"/>
        <v/>
      </c>
      <c r="O33" s="183" t="str">
        <f t="shared" si="11"/>
        <v/>
      </c>
      <c r="P33" s="183" t="str">
        <f t="shared" si="11"/>
        <v/>
      </c>
      <c r="Q33" s="183" t="str">
        <f t="shared" si="11"/>
        <v/>
      </c>
      <c r="R33" s="183" t="str">
        <f t="shared" si="11"/>
        <v/>
      </c>
      <c r="S33" s="183" t="str">
        <f t="shared" si="11"/>
        <v/>
      </c>
      <c r="T33" s="183" t="str">
        <f t="shared" si="11"/>
        <v/>
      </c>
      <c r="U33" s="183" t="str">
        <f t="shared" si="11"/>
        <v/>
      </c>
      <c r="V33" s="183" t="str">
        <f t="shared" si="11"/>
        <v/>
      </c>
      <c r="W33" s="183" t="str">
        <f t="shared" si="11"/>
        <v/>
      </c>
      <c r="X33" s="183" t="str">
        <f t="shared" si="11"/>
        <v/>
      </c>
      <c r="Y33" s="183" t="str">
        <f t="shared" si="11"/>
        <v/>
      </c>
      <c r="Z33" s="183" t="str">
        <f t="shared" si="11"/>
        <v/>
      </c>
      <c r="AA33" s="183" t="str">
        <f t="shared" si="11"/>
        <v/>
      </c>
      <c r="AB33" s="183" t="str">
        <f t="shared" si="11"/>
        <v/>
      </c>
      <c r="AC33" s="183" t="str">
        <f t="shared" si="11"/>
        <v/>
      </c>
      <c r="AD33" s="183" t="str">
        <f t="shared" si="11"/>
        <v/>
      </c>
      <c r="AE33" s="300" t="str">
        <f>IFERROR(ROUNDDOWN(AF35/AE35,4),"")</f>
        <v/>
      </c>
      <c r="AF33" s="301"/>
      <c r="AG33" s="302" t="str">
        <f>IFERROR(ROUNDDOWN(AH35/AG35,4),"")</f>
        <v/>
      </c>
      <c r="AH33" s="303"/>
      <c r="AK33" s="38"/>
      <c r="AL33" s="38"/>
    </row>
    <row r="34" spans="1:40" s="7" customFormat="1" ht="119.25" customHeight="1">
      <c r="A34" s="356"/>
      <c r="B34" s="6" t="s">
        <v>3</v>
      </c>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200" t="str">
        <f>IF(AK31="","","対象期間")</f>
        <v/>
      </c>
      <c r="AF34" s="201" t="str">
        <f>IF(AK31="","","閉所予定日数")</f>
        <v/>
      </c>
      <c r="AG34" s="204" t="str">
        <f>IF(AK31="","","対象期間")</f>
        <v/>
      </c>
      <c r="AH34" s="212" t="str">
        <f>IF(AK31="","","閉所実施日数")</f>
        <v/>
      </c>
      <c r="AI34" s="39"/>
      <c r="AJ34" s="31"/>
      <c r="AK34" s="40"/>
      <c r="AL34" s="40"/>
      <c r="AM34" s="39"/>
      <c r="AN34" s="39"/>
    </row>
    <row r="35" spans="1:40" ht="28.5" customHeight="1">
      <c r="A35" s="356"/>
      <c r="B35" s="5" t="s">
        <v>4</v>
      </c>
      <c r="C35" s="174" t="str">
        <f>IF(C31="","",IF($E$8="営繕","休",""))</f>
        <v/>
      </c>
      <c r="D35" s="174" t="str">
        <f>IF(D31="","",IF($E$8="営繕","休",""))</f>
        <v/>
      </c>
      <c r="E35" s="174"/>
      <c r="F35" s="174"/>
      <c r="G35" s="174"/>
      <c r="H35" s="174" t="str">
        <f>IF(H31="","",IF($E$8="土木","休",""))</f>
        <v/>
      </c>
      <c r="I35" s="174" t="str">
        <f>IF(I31="","",IF($E$8="土木","休",""))</f>
        <v/>
      </c>
      <c r="J35" s="174" t="str">
        <f>IF(J31="","",IF($E$8="営繕","休",""))</f>
        <v/>
      </c>
      <c r="K35" s="174" t="str">
        <f>IF(K31="","",IF($E$8="営繕","休",""))</f>
        <v/>
      </c>
      <c r="L35" s="174"/>
      <c r="M35" s="174"/>
      <c r="N35" s="174"/>
      <c r="O35" s="174" t="str">
        <f>IF(O31="","",IF($E$8="土木","休",""))</f>
        <v/>
      </c>
      <c r="P35" s="174" t="str">
        <f>IF(P31="","",IF($E$8="土木","休",""))</f>
        <v/>
      </c>
      <c r="Q35" s="174" t="str">
        <f>IF(Q31="","",IF($E$8="営繕","休",""))</f>
        <v/>
      </c>
      <c r="R35" s="174" t="str">
        <f>IF(R31="","",IF($E$8="営繕","休",""))</f>
        <v/>
      </c>
      <c r="S35" s="174"/>
      <c r="T35" s="174"/>
      <c r="U35" s="174"/>
      <c r="V35" s="174" t="str">
        <f>IF(V31="","",IF($E$8="土木","休",""))</f>
        <v/>
      </c>
      <c r="W35" s="174" t="str">
        <f>IF(W31="","",IF($E$8="土木","休",""))</f>
        <v/>
      </c>
      <c r="X35" s="174" t="str">
        <f>IF(X31="","",IF($E$8="営繕","休",""))</f>
        <v/>
      </c>
      <c r="Y35" s="174" t="str">
        <f>IF(Y31="","",IF($E$8="営繕","休",""))</f>
        <v/>
      </c>
      <c r="Z35" s="174"/>
      <c r="AA35" s="174"/>
      <c r="AB35" s="174"/>
      <c r="AC35" s="174" t="str">
        <f>IF(AC31="","",IF($E$8="土木","休",""))</f>
        <v/>
      </c>
      <c r="AD35" s="174" t="str">
        <f>IF(AD31="","",IF($E$8="土木","休",""))</f>
        <v/>
      </c>
      <c r="AE35" s="202" t="str">
        <f>IF(AK32="","",28-COUNTIF(C35:AD35,"夏")-COUNTIF(C35:AD35,"正")-COUNTIF(C35:AD35,"止")-COUNTIF(C35:AD35,"準")-COUNTIF(C35:AD35,"完"))</f>
        <v/>
      </c>
      <c r="AF35" s="203" t="str">
        <f>IF(AK32="","",COUNTIF(C35:AD35,"休"))</f>
        <v/>
      </c>
      <c r="AG35" s="205" t="str">
        <f>IF(AK32="","",28-COUNTIF(C36:AD36,"夏")-COUNTIF(C36:AD36,"正")-COUNTIF(C36:AD36,"止")-COUNTIF(C36:AD36,"準")-COUNTIF(C36:AD36,"完"))</f>
        <v/>
      </c>
      <c r="AH35" s="213" t="str">
        <f>IF(AK32="","",COUNTIF(C36:AD36,"休")+COUNTIF(C36:AD36,"代"))</f>
        <v/>
      </c>
      <c r="AJ35" s="60" t="str">
        <f>IFERROR(IF(AK32&gt;$Q$7,$Q$7-AK31+1-COUNTIF(C35:AD35,"夏")-COUNTIF(C35:AD35,"正")-COUNTIF(C35:AD35,"止")-COUNTIF(C35:AD35,"準")-COUNTIF(C35:AD35,"完"),28-COUNTIF(C35:AD35,"夏")-COUNTIF(C35:AD35,"正")-COUNTIF(C35:AD35,"止")-COUNTIF(C35:AD35,"準")-COUNTIF(C35:AD35,"完")),"")</f>
        <v/>
      </c>
      <c r="AK35" s="38" t="str">
        <f>IFERROR($Q$7-AK31+1-COUNTIF(C35:AD35,"夏")-COUNTIF(C35:AD35,"正")-COUNTIF(C35:AD35,"止")-COUNTIF(C35:AD35,"準")-COUNTIF(C35:AD35,"完"),"")</f>
        <v/>
      </c>
      <c r="AL35" s="38"/>
    </row>
    <row r="36" spans="1:40" ht="28.5" customHeight="1" thickBot="1">
      <c r="A36" s="357"/>
      <c r="B36" s="214" t="s">
        <v>5</v>
      </c>
      <c r="C36" s="216"/>
      <c r="D36" s="215"/>
      <c r="E36" s="215"/>
      <c r="F36" s="215"/>
      <c r="G36" s="215"/>
      <c r="H36" s="215"/>
      <c r="I36" s="215"/>
      <c r="J36" s="216"/>
      <c r="K36" s="215"/>
      <c r="L36" s="215"/>
      <c r="M36" s="215"/>
      <c r="N36" s="215"/>
      <c r="O36" s="215"/>
      <c r="P36" s="215"/>
      <c r="Q36" s="215"/>
      <c r="R36" s="215"/>
      <c r="S36" s="215"/>
      <c r="T36" s="215"/>
      <c r="U36" s="215"/>
      <c r="V36" s="215"/>
      <c r="W36" s="215"/>
      <c r="X36" s="215"/>
      <c r="Y36" s="215"/>
      <c r="Z36" s="215"/>
      <c r="AA36" s="215"/>
      <c r="AB36" s="215"/>
      <c r="AC36" s="215"/>
      <c r="AD36" s="215"/>
      <c r="AE36" s="477" t="str">
        <f>IF(AK32="","",IF(AE33&gt;=0.285,"週休二日達成","未達成"))</f>
        <v/>
      </c>
      <c r="AF36" s="478"/>
      <c r="AG36" s="479" t="str">
        <f>IF(AK32="","",IF(AG33&gt;=0.285,"週休二日達成","未達成"))</f>
        <v/>
      </c>
      <c r="AH36" s="480"/>
      <c r="AJ36" s="39"/>
      <c r="AK36" s="41">
        <f>IFERROR(ROUND(AF35/AE35,3),0)</f>
        <v>0</v>
      </c>
      <c r="AL36" s="42">
        <f>IFERROR(ROUND(AH35/AG35,3),0)</f>
        <v>0</v>
      </c>
    </row>
    <row r="37" spans="1:40" ht="23.25" customHeight="1">
      <c r="A37" s="355" t="str">
        <f>IF(AK37="","","第５期")</f>
        <v/>
      </c>
      <c r="B37" s="209" t="s">
        <v>0</v>
      </c>
      <c r="C37" s="210" t="str">
        <f>IF($AK$15+$AD$12+$AJ31&lt;=$Q$7,$AK$15+$AD$12+$AJ31,"")</f>
        <v/>
      </c>
      <c r="D37" s="210" t="str">
        <f t="shared" ref="D37:AD37" si="12">IF($AK$15+$AJ37+C$12&lt;=$Q$7,$AK$15+$AJ37+C$12,"")</f>
        <v/>
      </c>
      <c r="E37" s="210" t="str">
        <f t="shared" si="12"/>
        <v/>
      </c>
      <c r="F37" s="210" t="str">
        <f t="shared" si="12"/>
        <v/>
      </c>
      <c r="G37" s="210" t="str">
        <f t="shared" si="12"/>
        <v/>
      </c>
      <c r="H37" s="210" t="str">
        <f t="shared" si="12"/>
        <v/>
      </c>
      <c r="I37" s="210" t="str">
        <f t="shared" si="12"/>
        <v/>
      </c>
      <c r="J37" s="210" t="str">
        <f t="shared" si="12"/>
        <v/>
      </c>
      <c r="K37" s="210" t="str">
        <f t="shared" si="12"/>
        <v/>
      </c>
      <c r="L37" s="210" t="str">
        <f t="shared" si="12"/>
        <v/>
      </c>
      <c r="M37" s="210" t="str">
        <f t="shared" si="12"/>
        <v/>
      </c>
      <c r="N37" s="210" t="str">
        <f t="shared" si="12"/>
        <v/>
      </c>
      <c r="O37" s="210" t="str">
        <f t="shared" si="12"/>
        <v/>
      </c>
      <c r="P37" s="210" t="str">
        <f t="shared" si="12"/>
        <v/>
      </c>
      <c r="Q37" s="210" t="str">
        <f t="shared" si="12"/>
        <v/>
      </c>
      <c r="R37" s="210" t="str">
        <f t="shared" si="12"/>
        <v/>
      </c>
      <c r="S37" s="210" t="str">
        <f t="shared" si="12"/>
        <v/>
      </c>
      <c r="T37" s="210" t="str">
        <f t="shared" si="12"/>
        <v/>
      </c>
      <c r="U37" s="210" t="str">
        <f t="shared" si="12"/>
        <v/>
      </c>
      <c r="V37" s="210" t="str">
        <f t="shared" si="12"/>
        <v/>
      </c>
      <c r="W37" s="210" t="str">
        <f t="shared" si="12"/>
        <v/>
      </c>
      <c r="X37" s="210" t="str">
        <f t="shared" si="12"/>
        <v/>
      </c>
      <c r="Y37" s="210" t="str">
        <f t="shared" si="12"/>
        <v/>
      </c>
      <c r="Z37" s="210" t="str">
        <f t="shared" si="12"/>
        <v/>
      </c>
      <c r="AA37" s="210" t="str">
        <f t="shared" si="12"/>
        <v/>
      </c>
      <c r="AB37" s="210" t="str">
        <f t="shared" si="12"/>
        <v/>
      </c>
      <c r="AC37" s="210" t="str">
        <f t="shared" si="12"/>
        <v/>
      </c>
      <c r="AD37" s="210" t="str">
        <f t="shared" si="12"/>
        <v/>
      </c>
      <c r="AE37" s="304" t="str">
        <f>IF(AK37="","","土日数")</f>
        <v/>
      </c>
      <c r="AF37" s="305"/>
      <c r="AG37" s="306" t="str">
        <f>IFERROR(NETWORKDAYS.INTL(AK37,IF(AL38="〇",AK38,$Q$7),"1111100"),"")</f>
        <v/>
      </c>
      <c r="AH37" s="307"/>
      <c r="AJ37" s="60">
        <f>28*4</f>
        <v>112</v>
      </c>
      <c r="AK37" s="353" t="str">
        <f>IF($AK$15+AJ37&lt;=$AK$6,$AK$15+AJ37,"")</f>
        <v/>
      </c>
      <c r="AL37" s="353"/>
    </row>
    <row r="38" spans="1:40" ht="23.25" customHeight="1">
      <c r="A38" s="356"/>
      <c r="B38" s="54" t="s">
        <v>1</v>
      </c>
      <c r="C38" s="179" t="str">
        <f>IF($AK$15+$AD$12+$AJ31&lt;=$Q$7,$AK$15+$AD$12+$AJ31,"")</f>
        <v/>
      </c>
      <c r="D38" s="179" t="str">
        <f t="shared" ref="D38:AD38" si="13">IF($AK$15+$AJ37+C$12&lt;=$Q$7,$AK$15+$AJ37+C$12,"")</f>
        <v/>
      </c>
      <c r="E38" s="179" t="str">
        <f t="shared" si="13"/>
        <v/>
      </c>
      <c r="F38" s="179" t="str">
        <f t="shared" si="13"/>
        <v/>
      </c>
      <c r="G38" s="179" t="str">
        <f t="shared" si="13"/>
        <v/>
      </c>
      <c r="H38" s="179" t="str">
        <f t="shared" si="13"/>
        <v/>
      </c>
      <c r="I38" s="179" t="str">
        <f t="shared" si="13"/>
        <v/>
      </c>
      <c r="J38" s="179" t="str">
        <f t="shared" si="13"/>
        <v/>
      </c>
      <c r="K38" s="179" t="str">
        <f t="shared" si="13"/>
        <v/>
      </c>
      <c r="L38" s="179" t="str">
        <f t="shared" si="13"/>
        <v/>
      </c>
      <c r="M38" s="179" t="str">
        <f t="shared" si="13"/>
        <v/>
      </c>
      <c r="N38" s="179" t="str">
        <f t="shared" si="13"/>
        <v/>
      </c>
      <c r="O38" s="179" t="str">
        <f t="shared" si="13"/>
        <v/>
      </c>
      <c r="P38" s="179" t="str">
        <f t="shared" si="13"/>
        <v/>
      </c>
      <c r="Q38" s="179" t="str">
        <f t="shared" si="13"/>
        <v/>
      </c>
      <c r="R38" s="179" t="str">
        <f t="shared" si="13"/>
        <v/>
      </c>
      <c r="S38" s="179" t="str">
        <f t="shared" si="13"/>
        <v/>
      </c>
      <c r="T38" s="179" t="str">
        <f t="shared" si="13"/>
        <v/>
      </c>
      <c r="U38" s="179" t="str">
        <f t="shared" si="13"/>
        <v/>
      </c>
      <c r="V38" s="179" t="str">
        <f t="shared" si="13"/>
        <v/>
      </c>
      <c r="W38" s="179" t="str">
        <f t="shared" si="13"/>
        <v/>
      </c>
      <c r="X38" s="179" t="str">
        <f t="shared" si="13"/>
        <v/>
      </c>
      <c r="Y38" s="179" t="str">
        <f t="shared" si="13"/>
        <v/>
      </c>
      <c r="Z38" s="179" t="str">
        <f t="shared" si="13"/>
        <v/>
      </c>
      <c r="AA38" s="179" t="str">
        <f t="shared" si="13"/>
        <v/>
      </c>
      <c r="AB38" s="179" t="str">
        <f t="shared" si="13"/>
        <v/>
      </c>
      <c r="AC38" s="179" t="str">
        <f t="shared" si="13"/>
        <v/>
      </c>
      <c r="AD38" s="179" t="str">
        <f t="shared" si="13"/>
        <v/>
      </c>
      <c r="AE38" s="308" t="str">
        <f>IF(AK37="","","現場閉所率")</f>
        <v/>
      </c>
      <c r="AF38" s="309"/>
      <c r="AG38" s="314" t="str">
        <f>IF(AK37="","","現場閉所率")</f>
        <v/>
      </c>
      <c r="AH38" s="315"/>
      <c r="AI38" s="74"/>
      <c r="AJ38" s="60"/>
      <c r="AK38" s="197" t="str">
        <f>IFERROR(AK37+28-1,"")</f>
        <v/>
      </c>
      <c r="AL38" s="197" t="str">
        <f>IFERROR(IF(AK38&lt;=$Q$7,"〇","×"),"")</f>
        <v>×</v>
      </c>
    </row>
    <row r="39" spans="1:40" ht="23.25" customHeight="1">
      <c r="A39" s="356"/>
      <c r="B39" s="8" t="s">
        <v>2</v>
      </c>
      <c r="C39" s="183" t="str">
        <f t="shared" ref="C39:AD39" si="14">TEXT(C38,"aaa")</f>
        <v/>
      </c>
      <c r="D39" s="183" t="str">
        <f t="shared" si="14"/>
        <v/>
      </c>
      <c r="E39" s="183" t="str">
        <f t="shared" si="14"/>
        <v/>
      </c>
      <c r="F39" s="183" t="str">
        <f t="shared" si="14"/>
        <v/>
      </c>
      <c r="G39" s="183" t="str">
        <f t="shared" si="14"/>
        <v/>
      </c>
      <c r="H39" s="183" t="str">
        <f t="shared" si="14"/>
        <v/>
      </c>
      <c r="I39" s="183" t="str">
        <f t="shared" si="14"/>
        <v/>
      </c>
      <c r="J39" s="183" t="str">
        <f t="shared" si="14"/>
        <v/>
      </c>
      <c r="K39" s="183" t="str">
        <f t="shared" si="14"/>
        <v/>
      </c>
      <c r="L39" s="183" t="str">
        <f t="shared" si="14"/>
        <v/>
      </c>
      <c r="M39" s="183" t="str">
        <f t="shared" si="14"/>
        <v/>
      </c>
      <c r="N39" s="183" t="str">
        <f t="shared" si="14"/>
        <v/>
      </c>
      <c r="O39" s="183" t="str">
        <f t="shared" si="14"/>
        <v/>
      </c>
      <c r="P39" s="183" t="str">
        <f t="shared" si="14"/>
        <v/>
      </c>
      <c r="Q39" s="183" t="str">
        <f t="shared" si="14"/>
        <v/>
      </c>
      <c r="R39" s="183" t="str">
        <f t="shared" si="14"/>
        <v/>
      </c>
      <c r="S39" s="183" t="str">
        <f t="shared" si="14"/>
        <v/>
      </c>
      <c r="T39" s="183" t="str">
        <f t="shared" si="14"/>
        <v/>
      </c>
      <c r="U39" s="183" t="str">
        <f t="shared" si="14"/>
        <v/>
      </c>
      <c r="V39" s="183" t="str">
        <f t="shared" si="14"/>
        <v/>
      </c>
      <c r="W39" s="183" t="str">
        <f t="shared" si="14"/>
        <v/>
      </c>
      <c r="X39" s="183" t="str">
        <f t="shared" si="14"/>
        <v/>
      </c>
      <c r="Y39" s="183" t="str">
        <f t="shared" si="14"/>
        <v/>
      </c>
      <c r="Z39" s="183" t="str">
        <f t="shared" si="14"/>
        <v/>
      </c>
      <c r="AA39" s="183" t="str">
        <f t="shared" si="14"/>
        <v/>
      </c>
      <c r="AB39" s="183" t="str">
        <f t="shared" si="14"/>
        <v/>
      </c>
      <c r="AC39" s="183" t="str">
        <f t="shared" si="14"/>
        <v/>
      </c>
      <c r="AD39" s="183" t="str">
        <f t="shared" si="14"/>
        <v/>
      </c>
      <c r="AE39" s="300" t="str">
        <f>IFERROR(ROUNDDOWN(AF41/AE41,4),"")</f>
        <v/>
      </c>
      <c r="AF39" s="301"/>
      <c r="AG39" s="302" t="str">
        <f>IFERROR(ROUNDDOWN(AH41/AG41,4),"")</f>
        <v/>
      </c>
      <c r="AH39" s="303"/>
    </row>
    <row r="40" spans="1:40" s="7" customFormat="1" ht="119.25" customHeight="1">
      <c r="A40" s="356"/>
      <c r="B40" s="6" t="s">
        <v>3</v>
      </c>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200" t="str">
        <f>IF(AK37="","","対象期間")</f>
        <v/>
      </c>
      <c r="AF40" s="201" t="str">
        <f>IF(AK37="","","閉所予定日数")</f>
        <v/>
      </c>
      <c r="AG40" s="204" t="str">
        <f>IF(AK37="","","対象期間")</f>
        <v/>
      </c>
      <c r="AH40" s="212" t="str">
        <f>IF(AK37="","","閉所実施日数")</f>
        <v/>
      </c>
      <c r="AI40" s="39"/>
      <c r="AJ40" s="31"/>
      <c r="AK40" s="40"/>
      <c r="AL40" s="40"/>
      <c r="AM40" s="39"/>
      <c r="AN40" s="39"/>
    </row>
    <row r="41" spans="1:40" ht="28.5" customHeight="1">
      <c r="A41" s="356"/>
      <c r="B41" s="5" t="s">
        <v>4</v>
      </c>
      <c r="C41" s="174" t="str">
        <f>IF(C37="","",IF($E$8="営繕","休",""))</f>
        <v/>
      </c>
      <c r="D41" s="174" t="str">
        <f>IF(D37="","",IF($E$8="営繕","休",""))</f>
        <v/>
      </c>
      <c r="E41" s="174"/>
      <c r="F41" s="174"/>
      <c r="G41" s="174"/>
      <c r="H41" s="174" t="str">
        <f>IF(H37="","",IF($E$8="土木","休",""))</f>
        <v/>
      </c>
      <c r="I41" s="174" t="str">
        <f>IF(I37="","",IF($E$8="土木","休",""))</f>
        <v/>
      </c>
      <c r="J41" s="174" t="str">
        <f>IF(J37="","",IF($E$8="営繕","休",""))</f>
        <v/>
      </c>
      <c r="K41" s="174" t="str">
        <f>IF(K37="","",IF($E$8="営繕","休",""))</f>
        <v/>
      </c>
      <c r="L41" s="174"/>
      <c r="M41" s="174"/>
      <c r="N41" s="174"/>
      <c r="O41" s="174" t="str">
        <f>IF(O37="","",IF($E$8="土木","休",""))</f>
        <v/>
      </c>
      <c r="P41" s="174" t="str">
        <f>IF(P37="","",IF($E$8="土木","休",""))</f>
        <v/>
      </c>
      <c r="Q41" s="174" t="str">
        <f>IF(Q37="","",IF($E$8="営繕","休",""))</f>
        <v/>
      </c>
      <c r="R41" s="174" t="str">
        <f>IF(R37="","",IF($E$8="営繕","休",""))</f>
        <v/>
      </c>
      <c r="S41" s="174"/>
      <c r="T41" s="174"/>
      <c r="U41" s="174"/>
      <c r="V41" s="174" t="str">
        <f>IF(V37="","",IF($E$8="土木","休",""))</f>
        <v/>
      </c>
      <c r="W41" s="174" t="str">
        <f>IF(W37="","",IF($E$8="土木","休",""))</f>
        <v/>
      </c>
      <c r="X41" s="174" t="str">
        <f>IF(X37="","",IF($E$8="営繕","休",""))</f>
        <v/>
      </c>
      <c r="Y41" s="174" t="str">
        <f>IF(Y37="","",IF($E$8="営繕","休",""))</f>
        <v/>
      </c>
      <c r="Z41" s="174"/>
      <c r="AA41" s="174"/>
      <c r="AB41" s="174"/>
      <c r="AC41" s="174" t="str">
        <f>IF(AC37="","",IF($E$8="土木","休",""))</f>
        <v/>
      </c>
      <c r="AD41" s="174" t="str">
        <f>IF(AD37="","",IF($E$8="土木","休",""))</f>
        <v/>
      </c>
      <c r="AE41" s="202" t="str">
        <f>IF(AK38="","",28-COUNTIF(C41:AD41,"夏")-COUNTIF(C41:AD41,"正")-COUNTIF(C41:AD41,"止")-COUNTIF(C41:AD41,"準")-COUNTIF(C41:AD41,"完"))</f>
        <v/>
      </c>
      <c r="AF41" s="203" t="str">
        <f>IF(AK38="","",COUNTIF(C41:AD41,"休"))</f>
        <v/>
      </c>
      <c r="AG41" s="205" t="str">
        <f>IF(AK38="","",28-COUNTIF(C42:AD42,"夏")-COUNTIF(C42:AD42,"正")-COUNTIF(C42:AD42,"止")-COUNTIF(C42:AD42,"準")-COUNTIF(C42:AD42,"完"))</f>
        <v/>
      </c>
      <c r="AH41" s="213" t="str">
        <f>IF(AK38="","",COUNTIF(C42:AD42,"休")+COUNTIF(C42:AD42,"代"))</f>
        <v/>
      </c>
      <c r="AJ41" s="60" t="str">
        <f>IFERROR(IF(AK38&gt;$Q$7,$Q$7-AK37+1-COUNTIF(C41:AD41,"夏")-COUNTIF(C41:AD41,"正")-COUNTIF(C41:AD41,"止")-COUNTIF(C41:AD41,"準")-COUNTIF(C41:AD41,"完"),28-COUNTIF(C41:AD41,"夏")-COUNTIF(C41:AD41,"正")-COUNTIF(C41:AD41,"止")-COUNTIF(C41:AD41,"準")-COUNTIF(C41:AD41,"完")),"")</f>
        <v/>
      </c>
      <c r="AK41" s="38"/>
      <c r="AL41" s="38"/>
    </row>
    <row r="42" spans="1:40" ht="28.5" customHeight="1" thickBot="1">
      <c r="A42" s="357"/>
      <c r="B42" s="214" t="s">
        <v>5</v>
      </c>
      <c r="C42" s="215"/>
      <c r="D42" s="215"/>
      <c r="E42" s="215"/>
      <c r="F42" s="216"/>
      <c r="G42" s="216"/>
      <c r="H42" s="215"/>
      <c r="I42" s="215"/>
      <c r="J42" s="215"/>
      <c r="K42" s="215"/>
      <c r="L42" s="215"/>
      <c r="M42" s="216"/>
      <c r="N42" s="216"/>
      <c r="O42" s="215"/>
      <c r="P42" s="215"/>
      <c r="Q42" s="215"/>
      <c r="R42" s="215"/>
      <c r="S42" s="215"/>
      <c r="T42" s="216"/>
      <c r="U42" s="216"/>
      <c r="V42" s="215"/>
      <c r="W42" s="215"/>
      <c r="X42" s="215"/>
      <c r="Y42" s="215"/>
      <c r="Z42" s="215"/>
      <c r="AA42" s="216"/>
      <c r="AB42" s="216"/>
      <c r="AC42" s="215"/>
      <c r="AD42" s="215"/>
      <c r="AE42" s="477" t="str">
        <f>IF(AK38="","",IF(AE39&gt;=0.285,"週休二日達成","未達成"))</f>
        <v/>
      </c>
      <c r="AF42" s="478"/>
      <c r="AG42" s="479" t="str">
        <f>IF(AK38="","",IF(AG39&gt;=0.285,"週休二日達成","未達成"))</f>
        <v/>
      </c>
      <c r="AH42" s="480"/>
      <c r="AK42" s="41">
        <f>IFERROR(ROUND(AF41/AE41,3),0)</f>
        <v>0</v>
      </c>
      <c r="AL42" s="42">
        <f>IFERROR(ROUND(AH41/AG41,3),0)</f>
        <v>0</v>
      </c>
    </row>
    <row r="43" spans="1:40" ht="23.25" customHeight="1">
      <c r="A43" s="355" t="str">
        <f>IF(AK43="","","第６期")</f>
        <v/>
      </c>
      <c r="B43" s="209" t="s">
        <v>0</v>
      </c>
      <c r="C43" s="210" t="str">
        <f>IF($AK$15+$AD$12+$AJ37&lt;=$Q$7,$AK$15+$AD$12+$AJ37,"")</f>
        <v/>
      </c>
      <c r="D43" s="210" t="str">
        <f t="shared" ref="D43:AD43" si="15">IF($AK$15+$AJ43+C$12&lt;=$Q$7,$AK$15+$AJ43+C$12,"")</f>
        <v/>
      </c>
      <c r="E43" s="210" t="str">
        <f t="shared" si="15"/>
        <v/>
      </c>
      <c r="F43" s="210" t="str">
        <f t="shared" si="15"/>
        <v/>
      </c>
      <c r="G43" s="210" t="str">
        <f t="shared" si="15"/>
        <v/>
      </c>
      <c r="H43" s="210" t="str">
        <f t="shared" si="15"/>
        <v/>
      </c>
      <c r="I43" s="210" t="str">
        <f t="shared" si="15"/>
        <v/>
      </c>
      <c r="J43" s="210" t="str">
        <f t="shared" si="15"/>
        <v/>
      </c>
      <c r="K43" s="210" t="str">
        <f t="shared" si="15"/>
        <v/>
      </c>
      <c r="L43" s="210" t="str">
        <f t="shared" si="15"/>
        <v/>
      </c>
      <c r="M43" s="210" t="str">
        <f t="shared" si="15"/>
        <v/>
      </c>
      <c r="N43" s="210" t="str">
        <f t="shared" si="15"/>
        <v/>
      </c>
      <c r="O43" s="210" t="str">
        <f t="shared" si="15"/>
        <v/>
      </c>
      <c r="P43" s="210" t="str">
        <f t="shared" si="15"/>
        <v/>
      </c>
      <c r="Q43" s="210" t="str">
        <f t="shared" si="15"/>
        <v/>
      </c>
      <c r="R43" s="210" t="str">
        <f t="shared" si="15"/>
        <v/>
      </c>
      <c r="S43" s="210" t="str">
        <f t="shared" si="15"/>
        <v/>
      </c>
      <c r="T43" s="210" t="str">
        <f t="shared" si="15"/>
        <v/>
      </c>
      <c r="U43" s="210" t="str">
        <f t="shared" si="15"/>
        <v/>
      </c>
      <c r="V43" s="210" t="str">
        <f t="shared" si="15"/>
        <v/>
      </c>
      <c r="W43" s="210" t="str">
        <f t="shared" si="15"/>
        <v/>
      </c>
      <c r="X43" s="210" t="str">
        <f t="shared" si="15"/>
        <v/>
      </c>
      <c r="Y43" s="210" t="str">
        <f t="shared" si="15"/>
        <v/>
      </c>
      <c r="Z43" s="210" t="str">
        <f t="shared" si="15"/>
        <v/>
      </c>
      <c r="AA43" s="210" t="str">
        <f t="shared" si="15"/>
        <v/>
      </c>
      <c r="AB43" s="210" t="str">
        <f t="shared" si="15"/>
        <v/>
      </c>
      <c r="AC43" s="210" t="str">
        <f t="shared" si="15"/>
        <v/>
      </c>
      <c r="AD43" s="210" t="str">
        <f t="shared" si="15"/>
        <v/>
      </c>
      <c r="AE43" s="304" t="str">
        <f>IF(AK43="","","土日数")</f>
        <v/>
      </c>
      <c r="AF43" s="305"/>
      <c r="AG43" s="306" t="str">
        <f>IFERROR(NETWORKDAYS.INTL(AK43,IF(AL44="〇",AK44,$Q$7),"1111100"),"")</f>
        <v/>
      </c>
      <c r="AH43" s="307"/>
      <c r="AJ43" s="60">
        <f>28*5</f>
        <v>140</v>
      </c>
      <c r="AK43" s="353" t="str">
        <f>IF($AK$15+AJ43&lt;=$AK$6,$AK$15+AJ43,"")</f>
        <v/>
      </c>
      <c r="AL43" s="353"/>
    </row>
    <row r="44" spans="1:40" ht="23.25" customHeight="1">
      <c r="A44" s="356"/>
      <c r="B44" s="54" t="s">
        <v>1</v>
      </c>
      <c r="C44" s="179" t="str">
        <f>IF($AK$15+$AD$12+$AJ37&lt;=$Q$7,$AK$15+$AD$12+$AJ37,"")</f>
        <v/>
      </c>
      <c r="D44" s="179" t="str">
        <f t="shared" ref="D44:AD44" si="16">IF($AK$15+$AJ43+C$12&lt;=$Q$7,$AK$15+$AJ43+C$12,"")</f>
        <v/>
      </c>
      <c r="E44" s="179" t="str">
        <f t="shared" si="16"/>
        <v/>
      </c>
      <c r="F44" s="179" t="str">
        <f t="shared" si="16"/>
        <v/>
      </c>
      <c r="G44" s="179" t="str">
        <f t="shared" si="16"/>
        <v/>
      </c>
      <c r="H44" s="179" t="str">
        <f t="shared" si="16"/>
        <v/>
      </c>
      <c r="I44" s="179" t="str">
        <f t="shared" si="16"/>
        <v/>
      </c>
      <c r="J44" s="179" t="str">
        <f t="shared" si="16"/>
        <v/>
      </c>
      <c r="K44" s="179" t="str">
        <f t="shared" si="16"/>
        <v/>
      </c>
      <c r="L44" s="179" t="str">
        <f t="shared" si="16"/>
        <v/>
      </c>
      <c r="M44" s="179" t="str">
        <f t="shared" si="16"/>
        <v/>
      </c>
      <c r="N44" s="179" t="str">
        <f t="shared" si="16"/>
        <v/>
      </c>
      <c r="O44" s="179" t="str">
        <f t="shared" si="16"/>
        <v/>
      </c>
      <c r="P44" s="179" t="str">
        <f t="shared" si="16"/>
        <v/>
      </c>
      <c r="Q44" s="179" t="str">
        <f t="shared" si="16"/>
        <v/>
      </c>
      <c r="R44" s="179" t="str">
        <f t="shared" si="16"/>
        <v/>
      </c>
      <c r="S44" s="179" t="str">
        <f t="shared" si="16"/>
        <v/>
      </c>
      <c r="T44" s="179" t="str">
        <f t="shared" si="16"/>
        <v/>
      </c>
      <c r="U44" s="179" t="str">
        <f t="shared" si="16"/>
        <v/>
      </c>
      <c r="V44" s="179" t="str">
        <f t="shared" si="16"/>
        <v/>
      </c>
      <c r="W44" s="179" t="str">
        <f t="shared" si="16"/>
        <v/>
      </c>
      <c r="X44" s="179" t="str">
        <f t="shared" si="16"/>
        <v/>
      </c>
      <c r="Y44" s="179" t="str">
        <f t="shared" si="16"/>
        <v/>
      </c>
      <c r="Z44" s="179" t="str">
        <f t="shared" si="16"/>
        <v/>
      </c>
      <c r="AA44" s="179" t="str">
        <f t="shared" si="16"/>
        <v/>
      </c>
      <c r="AB44" s="179" t="str">
        <f t="shared" si="16"/>
        <v/>
      </c>
      <c r="AC44" s="179" t="str">
        <f t="shared" si="16"/>
        <v/>
      </c>
      <c r="AD44" s="179" t="str">
        <f t="shared" si="16"/>
        <v/>
      </c>
      <c r="AE44" s="308" t="str">
        <f>IF(AK43="","","現場閉所率")</f>
        <v/>
      </c>
      <c r="AF44" s="309"/>
      <c r="AG44" s="314" t="str">
        <f>IF(AK43="","","現場閉所率")</f>
        <v/>
      </c>
      <c r="AH44" s="315"/>
      <c r="AJ44" s="60"/>
      <c r="AK44" s="197" t="str">
        <f>IFERROR(AK43+28-1,"")</f>
        <v/>
      </c>
      <c r="AL44" s="197" t="str">
        <f>IFERROR(IF(AK44&lt;=$Q$7,"〇","×"),"")</f>
        <v>×</v>
      </c>
    </row>
    <row r="45" spans="1:40" ht="23.25" customHeight="1">
      <c r="A45" s="356"/>
      <c r="B45" s="8" t="s">
        <v>2</v>
      </c>
      <c r="C45" s="183" t="str">
        <f t="shared" ref="C45:AD45" si="17">TEXT(C44,"aaa")</f>
        <v/>
      </c>
      <c r="D45" s="183" t="str">
        <f t="shared" si="17"/>
        <v/>
      </c>
      <c r="E45" s="183" t="str">
        <f t="shared" si="17"/>
        <v/>
      </c>
      <c r="F45" s="183" t="str">
        <f t="shared" si="17"/>
        <v/>
      </c>
      <c r="G45" s="183" t="str">
        <f t="shared" si="17"/>
        <v/>
      </c>
      <c r="H45" s="183" t="str">
        <f t="shared" si="17"/>
        <v/>
      </c>
      <c r="I45" s="183" t="str">
        <f t="shared" si="17"/>
        <v/>
      </c>
      <c r="J45" s="183" t="str">
        <f t="shared" si="17"/>
        <v/>
      </c>
      <c r="K45" s="183" t="str">
        <f t="shared" si="17"/>
        <v/>
      </c>
      <c r="L45" s="183" t="str">
        <f t="shared" si="17"/>
        <v/>
      </c>
      <c r="M45" s="183" t="str">
        <f t="shared" si="17"/>
        <v/>
      </c>
      <c r="N45" s="183" t="str">
        <f t="shared" si="17"/>
        <v/>
      </c>
      <c r="O45" s="183" t="str">
        <f t="shared" si="17"/>
        <v/>
      </c>
      <c r="P45" s="183" t="str">
        <f t="shared" si="17"/>
        <v/>
      </c>
      <c r="Q45" s="183" t="str">
        <f t="shared" si="17"/>
        <v/>
      </c>
      <c r="R45" s="183" t="str">
        <f t="shared" si="17"/>
        <v/>
      </c>
      <c r="S45" s="183" t="str">
        <f t="shared" si="17"/>
        <v/>
      </c>
      <c r="T45" s="183" t="str">
        <f t="shared" si="17"/>
        <v/>
      </c>
      <c r="U45" s="183" t="str">
        <f t="shared" si="17"/>
        <v/>
      </c>
      <c r="V45" s="183" t="str">
        <f t="shared" si="17"/>
        <v/>
      </c>
      <c r="W45" s="183" t="str">
        <f t="shared" si="17"/>
        <v/>
      </c>
      <c r="X45" s="183" t="str">
        <f t="shared" si="17"/>
        <v/>
      </c>
      <c r="Y45" s="183" t="str">
        <f t="shared" si="17"/>
        <v/>
      </c>
      <c r="Z45" s="183" t="str">
        <f t="shared" si="17"/>
        <v/>
      </c>
      <c r="AA45" s="183" t="str">
        <f t="shared" si="17"/>
        <v/>
      </c>
      <c r="AB45" s="183" t="str">
        <f t="shared" si="17"/>
        <v/>
      </c>
      <c r="AC45" s="183" t="str">
        <f t="shared" si="17"/>
        <v/>
      </c>
      <c r="AD45" s="183" t="str">
        <f t="shared" si="17"/>
        <v/>
      </c>
      <c r="AE45" s="300" t="str">
        <f>IFERROR(ROUNDDOWN(AF47/AE47,4),"")</f>
        <v/>
      </c>
      <c r="AF45" s="301"/>
      <c r="AG45" s="302" t="str">
        <f>IFERROR(ROUNDDOWN(AH47/AG47,4),"")</f>
        <v/>
      </c>
      <c r="AH45" s="303"/>
      <c r="AJ45" s="60"/>
      <c r="AK45" s="38"/>
      <c r="AL45" s="38"/>
    </row>
    <row r="46" spans="1:40" ht="119.25" customHeight="1">
      <c r="A46" s="356"/>
      <c r="B46" s="6" t="s">
        <v>3</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200" t="str">
        <f>IF(AK43="","","対象期間")</f>
        <v/>
      </c>
      <c r="AF46" s="201" t="str">
        <f>IF(AK43="","","閉所予定日数")</f>
        <v/>
      </c>
      <c r="AG46" s="204" t="str">
        <f>IF(AK43="","","対象期間")</f>
        <v/>
      </c>
      <c r="AH46" s="212" t="str">
        <f>IF(AK43="","","閉所実施日数")</f>
        <v/>
      </c>
      <c r="AI46" s="39"/>
      <c r="AK46" s="40"/>
      <c r="AL46" s="40"/>
    </row>
    <row r="47" spans="1:40" ht="28.5" customHeight="1">
      <c r="A47" s="356"/>
      <c r="B47" s="5" t="s">
        <v>4</v>
      </c>
      <c r="C47" s="174" t="str">
        <f>IF(C43="","",IF($E$8="営繕","休",""))</f>
        <v/>
      </c>
      <c r="D47" s="174" t="str">
        <f>IF(D43="","",IF($E$8="営繕","休",""))</f>
        <v/>
      </c>
      <c r="E47" s="174"/>
      <c r="F47" s="174"/>
      <c r="G47" s="174"/>
      <c r="H47" s="174" t="str">
        <f>IF(H43="","",IF($E$8="土木","休",""))</f>
        <v/>
      </c>
      <c r="I47" s="174" t="str">
        <f>IF(I43="","",IF($E$8="土木","休",""))</f>
        <v/>
      </c>
      <c r="J47" s="174" t="str">
        <f>IF(J43="","",IF($E$8="営繕","休",""))</f>
        <v/>
      </c>
      <c r="K47" s="174" t="str">
        <f>IF(K43="","",IF($E$8="営繕","休",""))</f>
        <v/>
      </c>
      <c r="L47" s="174"/>
      <c r="M47" s="174"/>
      <c r="N47" s="174"/>
      <c r="O47" s="174" t="str">
        <f>IF(O43="","",IF($E$8="土木","休",""))</f>
        <v/>
      </c>
      <c r="P47" s="174" t="str">
        <f>IF(P43="","",IF($E$8="土木","休",""))</f>
        <v/>
      </c>
      <c r="Q47" s="174" t="str">
        <f>IF(Q43="","",IF($E$8="営繕","休",""))</f>
        <v/>
      </c>
      <c r="R47" s="174" t="str">
        <f>IF(R43="","",IF($E$8="営繕","休",""))</f>
        <v/>
      </c>
      <c r="S47" s="174"/>
      <c r="T47" s="174"/>
      <c r="U47" s="174"/>
      <c r="V47" s="174" t="str">
        <f>IF(V43="","",IF($E$8="土木","休",""))</f>
        <v/>
      </c>
      <c r="W47" s="174" t="str">
        <f>IF(W43="","",IF($E$8="土木","休",""))</f>
        <v/>
      </c>
      <c r="X47" s="174" t="str">
        <f>IF(X43="","",IF($E$8="営繕","休",""))</f>
        <v/>
      </c>
      <c r="Y47" s="174" t="str">
        <f>IF(Y43="","",IF($E$8="営繕","休",""))</f>
        <v/>
      </c>
      <c r="Z47" s="174"/>
      <c r="AA47" s="174"/>
      <c r="AB47" s="174"/>
      <c r="AC47" s="174" t="str">
        <f>IF(AC43="","",IF($E$8="土木","休",""))</f>
        <v/>
      </c>
      <c r="AD47" s="174" t="str">
        <f>IF(AD43="","",IF($E$8="土木","休",""))</f>
        <v/>
      </c>
      <c r="AE47" s="202" t="str">
        <f>IF(AK44="","",28-COUNTIF(C47:AD47,"夏")-COUNTIF(C47:AD47,"正")-COUNTIF(C47:AD47,"止")-COUNTIF(C47:AD47,"準")-COUNTIF(C47:AD47,"完"))</f>
        <v/>
      </c>
      <c r="AF47" s="203" t="str">
        <f>IF(AK44="","",COUNTIF(C47:AD47,"休"))</f>
        <v/>
      </c>
      <c r="AG47" s="205" t="str">
        <f>IF(AK44="","",28-COUNTIF(C48:AD48,"夏")-COUNTIF(C48:AD48,"正")-COUNTIF(C48:AD48,"止")-COUNTIF(C48:AD48,"準")-COUNTIF(C48:AD48,"完"))</f>
        <v/>
      </c>
      <c r="AH47" s="213" t="str">
        <f>IF(AK44="","",COUNTIF(C48:AD48,"休")+COUNTIF(C48:AD48,"代"))</f>
        <v/>
      </c>
      <c r="AJ47" s="60" t="str">
        <f>IFERROR(IF(AK44&gt;$Q$7,$Q$7-AK43+1-COUNTIF(C47:AD47,"夏")-COUNTIF(C47:AD47,"正")-COUNTIF(C47:AD47,"止")-COUNTIF(C47:AD47,"準")-COUNTIF(C47:AD47,"完"),28-COUNTIF(C47:AD47,"夏")-COUNTIF(C47:AD47,"正")-COUNTIF(C47:AD47,"止")-COUNTIF(C47:AD47,"準")-COUNTIF(C47:AD47,"完")),"")</f>
        <v/>
      </c>
      <c r="AK47" s="38"/>
      <c r="AL47" s="38"/>
    </row>
    <row r="48" spans="1:40" ht="28.5" customHeight="1" thickBot="1">
      <c r="A48" s="357"/>
      <c r="B48" s="214" t="s">
        <v>5</v>
      </c>
      <c r="C48" s="216"/>
      <c r="D48" s="216"/>
      <c r="E48" s="215"/>
      <c r="F48" s="215"/>
      <c r="G48" s="215"/>
      <c r="H48" s="215"/>
      <c r="I48" s="215"/>
      <c r="J48" s="216"/>
      <c r="K48" s="216"/>
      <c r="L48" s="215"/>
      <c r="M48" s="215"/>
      <c r="N48" s="215"/>
      <c r="O48" s="215"/>
      <c r="P48" s="215"/>
      <c r="Q48" s="216"/>
      <c r="R48" s="216"/>
      <c r="S48" s="215"/>
      <c r="T48" s="215"/>
      <c r="U48" s="215"/>
      <c r="V48" s="215"/>
      <c r="W48" s="215"/>
      <c r="X48" s="216"/>
      <c r="Y48" s="216"/>
      <c r="Z48" s="215"/>
      <c r="AA48" s="215"/>
      <c r="AB48" s="215"/>
      <c r="AC48" s="215"/>
      <c r="AD48" s="215"/>
      <c r="AE48" s="477" t="str">
        <f>IF(AK44="","",IF(AE45&gt;=0.285,"週休二日達成","未達成"))</f>
        <v/>
      </c>
      <c r="AF48" s="478"/>
      <c r="AG48" s="479" t="str">
        <f>IF(AK44="","",IF(AG45&gt;=0.285,"週休二日達成","未達成"))</f>
        <v/>
      </c>
      <c r="AH48" s="480"/>
      <c r="AK48" s="41">
        <f>IFERROR(ROUND(AF47/AE47,3),0)</f>
        <v>0</v>
      </c>
      <c r="AL48" s="42">
        <f>IFERROR(ROUND(AH47/AG47,3),0)</f>
        <v>0</v>
      </c>
    </row>
    <row r="49" spans="1:38" ht="23.25" customHeight="1">
      <c r="A49" s="355" t="str">
        <f>IF(AK49="","","第７期")</f>
        <v/>
      </c>
      <c r="B49" s="209" t="s">
        <v>0</v>
      </c>
      <c r="C49" s="210" t="str">
        <f>IF($AK$15+$AD$12+$AJ43&lt;=$Q$7,$AK$15+$AD$12+$AJ43,"")</f>
        <v/>
      </c>
      <c r="D49" s="210" t="str">
        <f t="shared" ref="D49:AD49" si="18">IF($AK$15+$AJ49+C$12&lt;=$Q$7,$AK$15+$AJ49+C$12,"")</f>
        <v/>
      </c>
      <c r="E49" s="210" t="str">
        <f t="shared" si="18"/>
        <v/>
      </c>
      <c r="F49" s="210" t="str">
        <f t="shared" si="18"/>
        <v/>
      </c>
      <c r="G49" s="210" t="str">
        <f t="shared" si="18"/>
        <v/>
      </c>
      <c r="H49" s="210" t="str">
        <f t="shared" si="18"/>
        <v/>
      </c>
      <c r="I49" s="210" t="str">
        <f t="shared" si="18"/>
        <v/>
      </c>
      <c r="J49" s="210" t="str">
        <f t="shared" si="18"/>
        <v/>
      </c>
      <c r="K49" s="210" t="str">
        <f t="shared" si="18"/>
        <v/>
      </c>
      <c r="L49" s="210" t="str">
        <f t="shared" si="18"/>
        <v/>
      </c>
      <c r="M49" s="210" t="str">
        <f t="shared" si="18"/>
        <v/>
      </c>
      <c r="N49" s="210" t="str">
        <f t="shared" si="18"/>
        <v/>
      </c>
      <c r="O49" s="210" t="str">
        <f t="shared" si="18"/>
        <v/>
      </c>
      <c r="P49" s="210" t="str">
        <f t="shared" si="18"/>
        <v/>
      </c>
      <c r="Q49" s="210" t="str">
        <f t="shared" si="18"/>
        <v/>
      </c>
      <c r="R49" s="210" t="str">
        <f t="shared" si="18"/>
        <v/>
      </c>
      <c r="S49" s="210" t="str">
        <f t="shared" si="18"/>
        <v/>
      </c>
      <c r="T49" s="210" t="str">
        <f t="shared" si="18"/>
        <v/>
      </c>
      <c r="U49" s="210" t="str">
        <f t="shared" si="18"/>
        <v/>
      </c>
      <c r="V49" s="210" t="str">
        <f t="shared" si="18"/>
        <v/>
      </c>
      <c r="W49" s="210" t="str">
        <f t="shared" si="18"/>
        <v/>
      </c>
      <c r="X49" s="210" t="str">
        <f t="shared" si="18"/>
        <v/>
      </c>
      <c r="Y49" s="210" t="str">
        <f t="shared" si="18"/>
        <v/>
      </c>
      <c r="Z49" s="210" t="str">
        <f t="shared" si="18"/>
        <v/>
      </c>
      <c r="AA49" s="210" t="str">
        <f t="shared" si="18"/>
        <v/>
      </c>
      <c r="AB49" s="210" t="str">
        <f t="shared" si="18"/>
        <v/>
      </c>
      <c r="AC49" s="210" t="str">
        <f t="shared" si="18"/>
        <v/>
      </c>
      <c r="AD49" s="210" t="str">
        <f t="shared" si="18"/>
        <v/>
      </c>
      <c r="AE49" s="304" t="str">
        <f>IF(AK49="","","土日数")</f>
        <v/>
      </c>
      <c r="AF49" s="305"/>
      <c r="AG49" s="306" t="str">
        <f>IFERROR(NETWORKDAYS.INTL(AK49,IF(AL50="〇",AK50,$Q$7),"1111100"),"")</f>
        <v/>
      </c>
      <c r="AH49" s="307"/>
      <c r="AJ49" s="60">
        <f>28*6</f>
        <v>168</v>
      </c>
      <c r="AK49" s="353" t="str">
        <f>IF($AK$15+AJ49&lt;=$AK$6,$AK$15+AJ49,"")</f>
        <v/>
      </c>
      <c r="AL49" s="353"/>
    </row>
    <row r="50" spans="1:38" ht="23.25" customHeight="1">
      <c r="A50" s="356"/>
      <c r="B50" s="54" t="s">
        <v>1</v>
      </c>
      <c r="C50" s="179" t="str">
        <f>IF($AK$15+$AD$12+$AJ43&lt;=$Q$7,$AK$15+$AD$12+$AJ43,"")</f>
        <v/>
      </c>
      <c r="D50" s="179" t="str">
        <f t="shared" ref="D50:AD50" si="19">IF($AK$15+$AJ49+C$12&lt;=$Q$7,$AK$15+$AJ49+C$12,"")</f>
        <v/>
      </c>
      <c r="E50" s="179" t="str">
        <f t="shared" si="19"/>
        <v/>
      </c>
      <c r="F50" s="179" t="str">
        <f t="shared" si="19"/>
        <v/>
      </c>
      <c r="G50" s="179" t="str">
        <f t="shared" si="19"/>
        <v/>
      </c>
      <c r="H50" s="179" t="str">
        <f t="shared" si="19"/>
        <v/>
      </c>
      <c r="I50" s="179" t="str">
        <f t="shared" si="19"/>
        <v/>
      </c>
      <c r="J50" s="179" t="str">
        <f t="shared" si="19"/>
        <v/>
      </c>
      <c r="K50" s="179" t="str">
        <f t="shared" si="19"/>
        <v/>
      </c>
      <c r="L50" s="179" t="str">
        <f t="shared" si="19"/>
        <v/>
      </c>
      <c r="M50" s="179" t="str">
        <f t="shared" si="19"/>
        <v/>
      </c>
      <c r="N50" s="179" t="str">
        <f t="shared" si="19"/>
        <v/>
      </c>
      <c r="O50" s="179" t="str">
        <f t="shared" si="19"/>
        <v/>
      </c>
      <c r="P50" s="179" t="str">
        <f t="shared" si="19"/>
        <v/>
      </c>
      <c r="Q50" s="179" t="str">
        <f t="shared" si="19"/>
        <v/>
      </c>
      <c r="R50" s="179" t="str">
        <f t="shared" si="19"/>
        <v/>
      </c>
      <c r="S50" s="179" t="str">
        <f t="shared" si="19"/>
        <v/>
      </c>
      <c r="T50" s="179" t="str">
        <f t="shared" si="19"/>
        <v/>
      </c>
      <c r="U50" s="179" t="str">
        <f t="shared" si="19"/>
        <v/>
      </c>
      <c r="V50" s="179" t="str">
        <f t="shared" si="19"/>
        <v/>
      </c>
      <c r="W50" s="179" t="str">
        <f t="shared" si="19"/>
        <v/>
      </c>
      <c r="X50" s="179" t="str">
        <f t="shared" si="19"/>
        <v/>
      </c>
      <c r="Y50" s="179" t="str">
        <f t="shared" si="19"/>
        <v/>
      </c>
      <c r="Z50" s="179" t="str">
        <f t="shared" si="19"/>
        <v/>
      </c>
      <c r="AA50" s="179" t="str">
        <f t="shared" si="19"/>
        <v/>
      </c>
      <c r="AB50" s="179" t="str">
        <f t="shared" si="19"/>
        <v/>
      </c>
      <c r="AC50" s="179" t="str">
        <f t="shared" si="19"/>
        <v/>
      </c>
      <c r="AD50" s="179" t="str">
        <f t="shared" si="19"/>
        <v/>
      </c>
      <c r="AE50" s="308" t="str">
        <f>IF(AK49="","","現場閉所率")</f>
        <v/>
      </c>
      <c r="AF50" s="309"/>
      <c r="AG50" s="314" t="str">
        <f>IF(AK49="","","現場閉所率")</f>
        <v/>
      </c>
      <c r="AH50" s="315"/>
      <c r="AJ50" s="39"/>
      <c r="AK50" s="197" t="str">
        <f>IFERROR(AK49+28-1,"")</f>
        <v/>
      </c>
      <c r="AL50" s="197" t="str">
        <f>IFERROR(IF(AK50&lt;=$Q$7,"〇","×"),"")</f>
        <v>×</v>
      </c>
    </row>
    <row r="51" spans="1:38" ht="23.25" customHeight="1">
      <c r="A51" s="356"/>
      <c r="B51" s="8" t="s">
        <v>2</v>
      </c>
      <c r="C51" s="183" t="str">
        <f t="shared" ref="C51:AD51" si="20">TEXT(C50,"aaa")</f>
        <v/>
      </c>
      <c r="D51" s="183" t="str">
        <f t="shared" si="20"/>
        <v/>
      </c>
      <c r="E51" s="183" t="str">
        <f t="shared" si="20"/>
        <v/>
      </c>
      <c r="F51" s="183" t="str">
        <f t="shared" si="20"/>
        <v/>
      </c>
      <c r="G51" s="183" t="str">
        <f t="shared" si="20"/>
        <v/>
      </c>
      <c r="H51" s="183" t="str">
        <f t="shared" si="20"/>
        <v/>
      </c>
      <c r="I51" s="183" t="str">
        <f t="shared" si="20"/>
        <v/>
      </c>
      <c r="J51" s="183" t="str">
        <f t="shared" si="20"/>
        <v/>
      </c>
      <c r="K51" s="183" t="str">
        <f t="shared" si="20"/>
        <v/>
      </c>
      <c r="L51" s="183" t="str">
        <f t="shared" si="20"/>
        <v/>
      </c>
      <c r="M51" s="183" t="str">
        <f t="shared" si="20"/>
        <v/>
      </c>
      <c r="N51" s="183" t="str">
        <f t="shared" si="20"/>
        <v/>
      </c>
      <c r="O51" s="183" t="str">
        <f t="shared" si="20"/>
        <v/>
      </c>
      <c r="P51" s="183" t="str">
        <f t="shared" si="20"/>
        <v/>
      </c>
      <c r="Q51" s="183" t="str">
        <f t="shared" si="20"/>
        <v/>
      </c>
      <c r="R51" s="183" t="str">
        <f t="shared" si="20"/>
        <v/>
      </c>
      <c r="S51" s="183" t="str">
        <f t="shared" si="20"/>
        <v/>
      </c>
      <c r="T51" s="183" t="str">
        <f t="shared" si="20"/>
        <v/>
      </c>
      <c r="U51" s="183" t="str">
        <f t="shared" si="20"/>
        <v/>
      </c>
      <c r="V51" s="183" t="str">
        <f t="shared" si="20"/>
        <v/>
      </c>
      <c r="W51" s="183" t="str">
        <f t="shared" si="20"/>
        <v/>
      </c>
      <c r="X51" s="183" t="str">
        <f t="shared" si="20"/>
        <v/>
      </c>
      <c r="Y51" s="183" t="str">
        <f t="shared" si="20"/>
        <v/>
      </c>
      <c r="Z51" s="183" t="str">
        <f t="shared" si="20"/>
        <v/>
      </c>
      <c r="AA51" s="183" t="str">
        <f t="shared" si="20"/>
        <v/>
      </c>
      <c r="AB51" s="183" t="str">
        <f t="shared" si="20"/>
        <v/>
      </c>
      <c r="AC51" s="183" t="str">
        <f t="shared" si="20"/>
        <v/>
      </c>
      <c r="AD51" s="183" t="str">
        <f t="shared" si="20"/>
        <v/>
      </c>
      <c r="AE51" s="300" t="str">
        <f>IFERROR(ROUNDDOWN(AF53/AE53,4),"")</f>
        <v/>
      </c>
      <c r="AF51" s="301"/>
      <c r="AG51" s="302" t="str">
        <f>IFERROR(ROUNDDOWN(AH53/AG53,4),"")</f>
        <v/>
      </c>
      <c r="AH51" s="303"/>
      <c r="AJ51" s="60"/>
      <c r="AK51" s="38"/>
      <c r="AL51" s="38"/>
    </row>
    <row r="52" spans="1:38" ht="119.25" customHeight="1">
      <c r="A52" s="356"/>
      <c r="B52" s="6" t="s">
        <v>3</v>
      </c>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200" t="str">
        <f>IF(AK49="","","対象期間")</f>
        <v/>
      </c>
      <c r="AF52" s="201" t="str">
        <f>IF(AK49="","","閉所予定日数")</f>
        <v/>
      </c>
      <c r="AG52" s="204" t="str">
        <f>IF(AK49="","","対象期間")</f>
        <v/>
      </c>
      <c r="AH52" s="212" t="str">
        <f>IF(AK49="","","閉所実施日数")</f>
        <v/>
      </c>
      <c r="AI52" s="39"/>
      <c r="AJ52" s="60"/>
      <c r="AK52" s="40"/>
      <c r="AL52" s="40"/>
    </row>
    <row r="53" spans="1:38" ht="28.5" customHeight="1">
      <c r="A53" s="356"/>
      <c r="B53" s="5" t="s">
        <v>4</v>
      </c>
      <c r="C53" s="174" t="str">
        <f>IF(C49="","",IF($E$8="営繕","休",""))</f>
        <v/>
      </c>
      <c r="D53" s="174" t="str">
        <f>IF(D49="","",IF($E$8="営繕","休",""))</f>
        <v/>
      </c>
      <c r="E53" s="174"/>
      <c r="F53" s="174"/>
      <c r="G53" s="174"/>
      <c r="H53" s="174" t="str">
        <f>IF(H49="","",IF($E$8="土木","休",""))</f>
        <v/>
      </c>
      <c r="I53" s="174" t="str">
        <f>IF(I49="","",IF($E$8="土木","休",""))</f>
        <v/>
      </c>
      <c r="J53" s="174" t="str">
        <f>IF(J49="","",IF($E$8="営繕","休",""))</f>
        <v/>
      </c>
      <c r="K53" s="174" t="str">
        <f>IF(K49="","",IF($E$8="営繕","休",""))</f>
        <v/>
      </c>
      <c r="L53" s="174"/>
      <c r="M53" s="174"/>
      <c r="N53" s="174"/>
      <c r="O53" s="174" t="str">
        <f>IF(O49="","",IF($E$8="土木","休",""))</f>
        <v/>
      </c>
      <c r="P53" s="174" t="str">
        <f>IF(P49="","",IF($E$8="土木","休",""))</f>
        <v/>
      </c>
      <c r="Q53" s="174" t="str">
        <f>IF(Q49="","",IF($E$8="営繕","休",""))</f>
        <v/>
      </c>
      <c r="R53" s="174" t="str">
        <f>IF(R49="","",IF($E$8="営繕","休",""))</f>
        <v/>
      </c>
      <c r="S53" s="174"/>
      <c r="T53" s="174"/>
      <c r="U53" s="174"/>
      <c r="V53" s="174" t="str">
        <f>IF(V49="","",IF($E$8="土木","休",""))</f>
        <v/>
      </c>
      <c r="W53" s="174" t="str">
        <f>IF(W49="","",IF($E$8="土木","休",""))</f>
        <v/>
      </c>
      <c r="X53" s="174" t="str">
        <f>IF(X49="","",IF($E$8="営繕","休",""))</f>
        <v/>
      </c>
      <c r="Y53" s="174" t="str">
        <f>IF(Y49="","",IF($E$8="営繕","休",""))</f>
        <v/>
      </c>
      <c r="Z53" s="174"/>
      <c r="AA53" s="174"/>
      <c r="AB53" s="174"/>
      <c r="AC53" s="174" t="str">
        <f>IF(AC49="","",IF($E$8="土木","休",""))</f>
        <v/>
      </c>
      <c r="AD53" s="174" t="str">
        <f>IF(AD49="","",IF($E$8="土木","休",""))</f>
        <v/>
      </c>
      <c r="AE53" s="202" t="str">
        <f>IF(AK50="","",28-COUNTIF(C53:AD53,"夏")-COUNTIF(C53:AD53,"正")-COUNTIF(C53:AD53,"止")-COUNTIF(C53:AD53,"準")-COUNTIF(C53:AD53,"完"))</f>
        <v/>
      </c>
      <c r="AF53" s="203" t="str">
        <f>IF(AK50="","",COUNTIF(C53:AD53,"休"))</f>
        <v/>
      </c>
      <c r="AG53" s="205" t="str">
        <f>IF(AK50="","",28-COUNTIF(C54:AD54,"夏")-COUNTIF(C54:AD54,"正")-COUNTIF(C54:AD54,"止")-COUNTIF(C54:AD54,"準")-COUNTIF(C54:AD54,"完"))</f>
        <v/>
      </c>
      <c r="AH53" s="213" t="str">
        <f>IF(AK50="","",COUNTIF(C54:AD54,"休")+COUNTIF(C54:AD54,"代"))</f>
        <v/>
      </c>
      <c r="AJ53" s="60" t="str">
        <f>IFERROR(IF(AK50&gt;$Q$7,$Q$7-AK49+1-COUNTIF(C53:AD53,"夏")-COUNTIF(C53:AD53,"正")-COUNTIF(C53:AD53,"止")-COUNTIF(C53:AD53,"準")-COUNTIF(C53:AD53,"完"),28-COUNTIF(C53:AD53,"夏")-COUNTIF(C53:AD53,"正")-COUNTIF(C53:AD53,"止")-COUNTIF(C53:AD53,"準")-COUNTIF(C53:AD53,"完")),"")</f>
        <v/>
      </c>
      <c r="AK53" s="38"/>
      <c r="AL53" s="38"/>
    </row>
    <row r="54" spans="1:38" ht="28.5" customHeight="1" thickBot="1">
      <c r="A54" s="357"/>
      <c r="B54" s="214" t="s">
        <v>5</v>
      </c>
      <c r="C54" s="215"/>
      <c r="D54" s="215"/>
      <c r="E54" s="215"/>
      <c r="F54" s="215"/>
      <c r="G54" s="215"/>
      <c r="H54" s="215"/>
      <c r="I54" s="215"/>
      <c r="J54" s="215"/>
      <c r="K54" s="215"/>
      <c r="L54" s="215"/>
      <c r="M54" s="215"/>
      <c r="N54" s="215"/>
      <c r="O54" s="215"/>
      <c r="P54" s="215"/>
      <c r="Q54" s="215"/>
      <c r="R54" s="215"/>
      <c r="S54" s="215"/>
      <c r="T54" s="215"/>
      <c r="U54" s="215"/>
      <c r="V54" s="216"/>
      <c r="W54" s="216"/>
      <c r="X54" s="215"/>
      <c r="Y54" s="215"/>
      <c r="Z54" s="215"/>
      <c r="AA54" s="215"/>
      <c r="AB54" s="215"/>
      <c r="AC54" s="216"/>
      <c r="AD54" s="216"/>
      <c r="AE54" s="477" t="str">
        <f>IF(AK50="","",IF(AE51&gt;=0.285,"週休二日達成","未達成"))</f>
        <v/>
      </c>
      <c r="AF54" s="478"/>
      <c r="AG54" s="479" t="str">
        <f>IF(AK50="","",IF(AG51&gt;=0.285,"週休二日達成","未達成"))</f>
        <v/>
      </c>
      <c r="AH54" s="480"/>
      <c r="AK54" s="41">
        <f>IFERROR(ROUND(AF53/AE53,3),0)</f>
        <v>0</v>
      </c>
      <c r="AL54" s="42">
        <f>IFERROR(ROUND(AH53/AG53,3),0)</f>
        <v>0</v>
      </c>
    </row>
    <row r="55" spans="1:38" ht="23.25" customHeight="1">
      <c r="A55" s="355" t="str">
        <f>IF(AK55="","","第８期")</f>
        <v/>
      </c>
      <c r="B55" s="209" t="s">
        <v>0</v>
      </c>
      <c r="C55" s="210" t="str">
        <f>IF($AK$15+$AD$12+$AJ49&lt;=$Q$7,$AK$15+$AD$12+$AJ49,"")</f>
        <v/>
      </c>
      <c r="D55" s="210" t="str">
        <f t="shared" ref="D55:AD55" si="21">IF($AK$15+$AJ55+C$12&lt;=$Q$7,$AK$15+$AJ55+C$12,"")</f>
        <v/>
      </c>
      <c r="E55" s="210" t="str">
        <f t="shared" si="21"/>
        <v/>
      </c>
      <c r="F55" s="210" t="str">
        <f t="shared" si="21"/>
        <v/>
      </c>
      <c r="G55" s="210" t="str">
        <f t="shared" si="21"/>
        <v/>
      </c>
      <c r="H55" s="210" t="str">
        <f t="shared" si="21"/>
        <v/>
      </c>
      <c r="I55" s="210" t="str">
        <f t="shared" si="21"/>
        <v/>
      </c>
      <c r="J55" s="210" t="str">
        <f t="shared" si="21"/>
        <v/>
      </c>
      <c r="K55" s="210" t="str">
        <f t="shared" si="21"/>
        <v/>
      </c>
      <c r="L55" s="210" t="str">
        <f t="shared" si="21"/>
        <v/>
      </c>
      <c r="M55" s="210" t="str">
        <f t="shared" si="21"/>
        <v/>
      </c>
      <c r="N55" s="210" t="str">
        <f t="shared" si="21"/>
        <v/>
      </c>
      <c r="O55" s="210" t="str">
        <f t="shared" si="21"/>
        <v/>
      </c>
      <c r="P55" s="210" t="str">
        <f t="shared" si="21"/>
        <v/>
      </c>
      <c r="Q55" s="210" t="str">
        <f t="shared" si="21"/>
        <v/>
      </c>
      <c r="R55" s="210" t="str">
        <f t="shared" si="21"/>
        <v/>
      </c>
      <c r="S55" s="210" t="str">
        <f t="shared" si="21"/>
        <v/>
      </c>
      <c r="T55" s="210" t="str">
        <f t="shared" si="21"/>
        <v/>
      </c>
      <c r="U55" s="210" t="str">
        <f t="shared" si="21"/>
        <v/>
      </c>
      <c r="V55" s="210" t="str">
        <f t="shared" si="21"/>
        <v/>
      </c>
      <c r="W55" s="210" t="str">
        <f t="shared" si="21"/>
        <v/>
      </c>
      <c r="X55" s="210" t="str">
        <f t="shared" si="21"/>
        <v/>
      </c>
      <c r="Y55" s="210" t="str">
        <f t="shared" si="21"/>
        <v/>
      </c>
      <c r="Z55" s="210" t="str">
        <f t="shared" si="21"/>
        <v/>
      </c>
      <c r="AA55" s="210" t="str">
        <f t="shared" si="21"/>
        <v/>
      </c>
      <c r="AB55" s="210" t="str">
        <f t="shared" si="21"/>
        <v/>
      </c>
      <c r="AC55" s="210" t="str">
        <f t="shared" si="21"/>
        <v/>
      </c>
      <c r="AD55" s="210" t="str">
        <f t="shared" si="21"/>
        <v/>
      </c>
      <c r="AE55" s="304" t="str">
        <f>IF(AK55="","","土日数")</f>
        <v/>
      </c>
      <c r="AF55" s="305"/>
      <c r="AG55" s="306" t="str">
        <f>IFERROR(NETWORKDAYS.INTL(AK55,IF(AL56="〇",AK56,$Q$7),"1111100"),"")</f>
        <v/>
      </c>
      <c r="AH55" s="307"/>
      <c r="AJ55" s="60">
        <f>28*7</f>
        <v>196</v>
      </c>
      <c r="AK55" s="353" t="str">
        <f>IF($AK$15+AJ55&lt;=$AK$6,$AK$15+AJ55,"")</f>
        <v/>
      </c>
      <c r="AL55" s="353"/>
    </row>
    <row r="56" spans="1:38" ht="23.25" customHeight="1">
      <c r="A56" s="356"/>
      <c r="B56" s="54" t="s">
        <v>1</v>
      </c>
      <c r="C56" s="179" t="str">
        <f>IF($AK$15+$AD$12+$AJ49&lt;=$Q$7,$AK$15+$AD$12+$AJ49,"")</f>
        <v/>
      </c>
      <c r="D56" s="179" t="str">
        <f t="shared" ref="D56:AD56" si="22">IF($AK$15+$AJ55+C$12&lt;=$Q$7,$AK$15+$AJ55+C$12,"")</f>
        <v/>
      </c>
      <c r="E56" s="179" t="str">
        <f t="shared" si="22"/>
        <v/>
      </c>
      <c r="F56" s="179" t="str">
        <f t="shared" si="22"/>
        <v/>
      </c>
      <c r="G56" s="179" t="str">
        <f t="shared" si="22"/>
        <v/>
      </c>
      <c r="H56" s="179" t="str">
        <f t="shared" si="22"/>
        <v/>
      </c>
      <c r="I56" s="179" t="str">
        <f t="shared" si="22"/>
        <v/>
      </c>
      <c r="J56" s="179" t="str">
        <f t="shared" si="22"/>
        <v/>
      </c>
      <c r="K56" s="179" t="str">
        <f t="shared" si="22"/>
        <v/>
      </c>
      <c r="L56" s="179" t="str">
        <f t="shared" si="22"/>
        <v/>
      </c>
      <c r="M56" s="179" t="str">
        <f t="shared" si="22"/>
        <v/>
      </c>
      <c r="N56" s="179" t="str">
        <f t="shared" si="22"/>
        <v/>
      </c>
      <c r="O56" s="179" t="str">
        <f t="shared" si="22"/>
        <v/>
      </c>
      <c r="P56" s="179" t="str">
        <f t="shared" si="22"/>
        <v/>
      </c>
      <c r="Q56" s="179" t="str">
        <f t="shared" si="22"/>
        <v/>
      </c>
      <c r="R56" s="179" t="str">
        <f t="shared" si="22"/>
        <v/>
      </c>
      <c r="S56" s="179" t="str">
        <f t="shared" si="22"/>
        <v/>
      </c>
      <c r="T56" s="179" t="str">
        <f t="shared" si="22"/>
        <v/>
      </c>
      <c r="U56" s="179" t="str">
        <f t="shared" si="22"/>
        <v/>
      </c>
      <c r="V56" s="179" t="str">
        <f t="shared" si="22"/>
        <v/>
      </c>
      <c r="W56" s="179" t="str">
        <f t="shared" si="22"/>
        <v/>
      </c>
      <c r="X56" s="179" t="str">
        <f t="shared" si="22"/>
        <v/>
      </c>
      <c r="Y56" s="179" t="str">
        <f t="shared" si="22"/>
        <v/>
      </c>
      <c r="Z56" s="179" t="str">
        <f t="shared" si="22"/>
        <v/>
      </c>
      <c r="AA56" s="179" t="str">
        <f t="shared" si="22"/>
        <v/>
      </c>
      <c r="AB56" s="179" t="str">
        <f t="shared" si="22"/>
        <v/>
      </c>
      <c r="AC56" s="179" t="str">
        <f t="shared" si="22"/>
        <v/>
      </c>
      <c r="AD56" s="179" t="str">
        <f t="shared" si="22"/>
        <v/>
      </c>
      <c r="AE56" s="308" t="str">
        <f>IF(AK55="","","現場閉所率")</f>
        <v/>
      </c>
      <c r="AF56" s="309"/>
      <c r="AG56" s="314" t="str">
        <f>IF(AK55="","","現場閉所率")</f>
        <v/>
      </c>
      <c r="AH56" s="315"/>
      <c r="AK56" s="197" t="str">
        <f>IFERROR(AK55+28-1,"")</f>
        <v/>
      </c>
      <c r="AL56" s="197" t="str">
        <f>IFERROR(IF(AK56&lt;=$Q$7,"〇","×"),"")</f>
        <v>×</v>
      </c>
    </row>
    <row r="57" spans="1:38" ht="23.25" customHeight="1">
      <c r="A57" s="356"/>
      <c r="B57" s="8" t="s">
        <v>2</v>
      </c>
      <c r="C57" s="183" t="str">
        <f t="shared" ref="C57:AD57" si="23">TEXT(C56,"aaa")</f>
        <v/>
      </c>
      <c r="D57" s="183" t="str">
        <f t="shared" si="23"/>
        <v/>
      </c>
      <c r="E57" s="183" t="str">
        <f t="shared" si="23"/>
        <v/>
      </c>
      <c r="F57" s="183" t="str">
        <f t="shared" si="23"/>
        <v/>
      </c>
      <c r="G57" s="183" t="str">
        <f t="shared" si="23"/>
        <v/>
      </c>
      <c r="H57" s="183" t="str">
        <f t="shared" si="23"/>
        <v/>
      </c>
      <c r="I57" s="183" t="str">
        <f t="shared" si="23"/>
        <v/>
      </c>
      <c r="J57" s="183" t="str">
        <f t="shared" si="23"/>
        <v/>
      </c>
      <c r="K57" s="183" t="str">
        <f t="shared" si="23"/>
        <v/>
      </c>
      <c r="L57" s="183" t="str">
        <f t="shared" si="23"/>
        <v/>
      </c>
      <c r="M57" s="183" t="str">
        <f t="shared" si="23"/>
        <v/>
      </c>
      <c r="N57" s="183" t="str">
        <f t="shared" si="23"/>
        <v/>
      </c>
      <c r="O57" s="183" t="str">
        <f t="shared" si="23"/>
        <v/>
      </c>
      <c r="P57" s="183" t="str">
        <f t="shared" si="23"/>
        <v/>
      </c>
      <c r="Q57" s="183" t="str">
        <f t="shared" si="23"/>
        <v/>
      </c>
      <c r="R57" s="183" t="str">
        <f t="shared" si="23"/>
        <v/>
      </c>
      <c r="S57" s="183" t="str">
        <f t="shared" si="23"/>
        <v/>
      </c>
      <c r="T57" s="183" t="str">
        <f t="shared" si="23"/>
        <v/>
      </c>
      <c r="U57" s="183" t="str">
        <f t="shared" si="23"/>
        <v/>
      </c>
      <c r="V57" s="183" t="str">
        <f t="shared" si="23"/>
        <v/>
      </c>
      <c r="W57" s="183" t="str">
        <f t="shared" si="23"/>
        <v/>
      </c>
      <c r="X57" s="183" t="str">
        <f t="shared" si="23"/>
        <v/>
      </c>
      <c r="Y57" s="183" t="str">
        <f t="shared" si="23"/>
        <v/>
      </c>
      <c r="Z57" s="183" t="str">
        <f t="shared" si="23"/>
        <v/>
      </c>
      <c r="AA57" s="183" t="str">
        <f t="shared" si="23"/>
        <v/>
      </c>
      <c r="AB57" s="183" t="str">
        <f t="shared" si="23"/>
        <v/>
      </c>
      <c r="AC57" s="183" t="str">
        <f t="shared" si="23"/>
        <v/>
      </c>
      <c r="AD57" s="183" t="str">
        <f t="shared" si="23"/>
        <v/>
      </c>
      <c r="AE57" s="300" t="str">
        <f>IFERROR(ROUNDDOWN(AF59/AE59,4),"")</f>
        <v/>
      </c>
      <c r="AF57" s="301"/>
      <c r="AG57" s="302" t="str">
        <f>IFERROR(ROUNDDOWN(AH59/AG59,4),"")</f>
        <v/>
      </c>
      <c r="AH57" s="303"/>
      <c r="AJ57" s="39"/>
      <c r="AK57" s="38"/>
      <c r="AL57" s="38"/>
    </row>
    <row r="58" spans="1:38" ht="119.25" customHeight="1">
      <c r="A58" s="356"/>
      <c r="B58" s="6" t="s">
        <v>3</v>
      </c>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200" t="str">
        <f>IF(AK55="","","対象期間")</f>
        <v/>
      </c>
      <c r="AF58" s="201" t="str">
        <f>IF(AK55="","","閉所予定日数")</f>
        <v/>
      </c>
      <c r="AG58" s="204" t="str">
        <f>IF(AK55="","","対象期間")</f>
        <v/>
      </c>
      <c r="AH58" s="212" t="str">
        <f>IF(AK55="","","閉所実施日数")</f>
        <v/>
      </c>
      <c r="AI58" s="39"/>
      <c r="AJ58" s="60"/>
      <c r="AK58" s="40"/>
      <c r="AL58" s="40"/>
    </row>
    <row r="59" spans="1:38" ht="28.5" customHeight="1">
      <c r="A59" s="356"/>
      <c r="B59" s="5" t="s">
        <v>4</v>
      </c>
      <c r="C59" s="174" t="str">
        <f>IF(C55="","",IF($E$8="営繕","休",""))</f>
        <v/>
      </c>
      <c r="D59" s="174" t="str">
        <f>IF(D55="","",IF($E$8="営繕","休",""))</f>
        <v/>
      </c>
      <c r="E59" s="174"/>
      <c r="F59" s="174"/>
      <c r="G59" s="174"/>
      <c r="H59" s="174" t="str">
        <f>IF(H55="","",IF($E$8="土木","休",""))</f>
        <v/>
      </c>
      <c r="I59" s="174" t="str">
        <f>IF(I55="","",IF($E$8="土木","休",""))</f>
        <v/>
      </c>
      <c r="J59" s="174" t="str">
        <f>IF(J55="","",IF($E$8="営繕","休",""))</f>
        <v/>
      </c>
      <c r="K59" s="174" t="str">
        <f>IF(K55="","",IF($E$8="営繕","休",""))</f>
        <v/>
      </c>
      <c r="L59" s="174"/>
      <c r="M59" s="174"/>
      <c r="N59" s="174"/>
      <c r="O59" s="174" t="str">
        <f>IF(O55="","",IF($E$8="土木","休",""))</f>
        <v/>
      </c>
      <c r="P59" s="174" t="str">
        <f>IF(P55="","",IF($E$8="土木","休",""))</f>
        <v/>
      </c>
      <c r="Q59" s="174" t="str">
        <f>IF(Q55="","",IF($E$8="営繕","休",""))</f>
        <v/>
      </c>
      <c r="R59" s="174" t="str">
        <f>IF(R55="","",IF($E$8="営繕","休",""))</f>
        <v/>
      </c>
      <c r="S59" s="174"/>
      <c r="T59" s="174"/>
      <c r="U59" s="174"/>
      <c r="V59" s="174" t="str">
        <f>IF(V55="","",IF($E$8="土木","休",""))</f>
        <v/>
      </c>
      <c r="W59" s="174" t="str">
        <f>IF(W55="","",IF($E$8="土木","休",""))</f>
        <v/>
      </c>
      <c r="X59" s="174" t="str">
        <f>IF(X55="","",IF($E$8="営繕","休",""))</f>
        <v/>
      </c>
      <c r="Y59" s="174" t="str">
        <f>IF(Y55="","",IF($E$8="営繕","休",""))</f>
        <v/>
      </c>
      <c r="Z59" s="174"/>
      <c r="AA59" s="174"/>
      <c r="AB59" s="174"/>
      <c r="AC59" s="174" t="str">
        <f>IF(AC55="","",IF($E$8="土木","休",""))</f>
        <v/>
      </c>
      <c r="AD59" s="174" t="str">
        <f>IF(AD55="","",IF($E$8="土木","休",""))</f>
        <v/>
      </c>
      <c r="AE59" s="202" t="str">
        <f>IF(AK56="","",28-COUNTIF(C59:AD59,"夏")-COUNTIF(C59:AD59,"正")-COUNTIF(C59:AD59,"止")-COUNTIF(C59:AD59,"準")-COUNTIF(C59:AD59,"完"))</f>
        <v/>
      </c>
      <c r="AF59" s="203" t="str">
        <f>IF(AK56="","",COUNTIF(C59:AD59,"休"))</f>
        <v/>
      </c>
      <c r="AG59" s="205" t="str">
        <f>IF(AK56="","",28-COUNTIF(C60:AD60,"夏")-COUNTIF(C60:AD60,"正")-COUNTIF(C60:AD60,"止")-COUNTIF(C60:AD60,"準")-COUNTIF(C60:AD60,"完"))</f>
        <v/>
      </c>
      <c r="AH59" s="213" t="str">
        <f>IF(AK56="","",COUNTIF(C60:AD60,"休")+COUNTIF(C60:AD60,"代"))</f>
        <v/>
      </c>
      <c r="AJ59" s="60" t="str">
        <f>IFERROR(IF(AK56&gt;$Q$7,$Q$7-AK55+1-COUNTIF(C59:AD59,"夏")-COUNTIF(C59:AD59,"正")-COUNTIF(C59:AD59,"止")-COUNTIF(C59:AD59,"準")-COUNTIF(C59:AD59,"完"),28-COUNTIF(C59:AD59,"夏")-COUNTIF(C59:AD59,"正")-COUNTIF(C59:AD59,"止")-COUNTIF(C59:AD59,"準")-COUNTIF(C59:AD59,"完")),"")</f>
        <v/>
      </c>
      <c r="AK59" s="38"/>
      <c r="AL59" s="38"/>
    </row>
    <row r="60" spans="1:38" ht="28.5" customHeight="1" thickBot="1">
      <c r="A60" s="357"/>
      <c r="B60" s="214" t="s">
        <v>5</v>
      </c>
      <c r="C60" s="215"/>
      <c r="D60" s="215"/>
      <c r="E60" s="215"/>
      <c r="F60" s="216"/>
      <c r="G60" s="215"/>
      <c r="H60" s="215"/>
      <c r="I60" s="215"/>
      <c r="J60" s="215"/>
      <c r="K60" s="215"/>
      <c r="L60" s="216"/>
      <c r="M60" s="216"/>
      <c r="N60" s="215"/>
      <c r="O60" s="215"/>
      <c r="P60" s="215"/>
      <c r="Q60" s="215"/>
      <c r="R60" s="215"/>
      <c r="S60" s="216"/>
      <c r="T60" s="216"/>
      <c r="U60" s="215"/>
      <c r="V60" s="215"/>
      <c r="W60" s="215"/>
      <c r="X60" s="215"/>
      <c r="Y60" s="215"/>
      <c r="Z60" s="216"/>
      <c r="AA60" s="216"/>
      <c r="AB60" s="215"/>
      <c r="AC60" s="215"/>
      <c r="AD60" s="215"/>
      <c r="AE60" s="477" t="str">
        <f>IF(AK56="","",IF(AE57&gt;=0.285,"週休二日達成","未達成"))</f>
        <v/>
      </c>
      <c r="AF60" s="478"/>
      <c r="AG60" s="479" t="str">
        <f>IF(AK56="","",IF(AG57&gt;=0.285,"週休二日達成","未達成"))</f>
        <v/>
      </c>
      <c r="AH60" s="480"/>
      <c r="AK60" s="41">
        <f>IFERROR(ROUND(AF59/AE59,3),0)</f>
        <v>0</v>
      </c>
      <c r="AL60" s="42">
        <f>IFERROR(ROUND(AH59/AG59,3),0)</f>
        <v>0</v>
      </c>
    </row>
    <row r="61" spans="1:38" ht="23.25" customHeight="1">
      <c r="A61" s="355" t="str">
        <f>IF(AK61="","","第９期")</f>
        <v/>
      </c>
      <c r="B61" s="209" t="s">
        <v>0</v>
      </c>
      <c r="C61" s="210" t="str">
        <f>IF($AK$15+$AD$12+$AJ55&lt;=$Q$7,$AK$15+$AD$12+$AJ55,"")</f>
        <v/>
      </c>
      <c r="D61" s="210" t="str">
        <f t="shared" ref="D61:AD61" si="24">IF($AK$15+$AJ61+C$12&lt;=$Q$7,$AK$15+$AJ61+C$12,"")</f>
        <v/>
      </c>
      <c r="E61" s="210" t="str">
        <f t="shared" si="24"/>
        <v/>
      </c>
      <c r="F61" s="210" t="str">
        <f t="shared" si="24"/>
        <v/>
      </c>
      <c r="G61" s="210" t="str">
        <f t="shared" si="24"/>
        <v/>
      </c>
      <c r="H61" s="210" t="str">
        <f t="shared" si="24"/>
        <v/>
      </c>
      <c r="I61" s="210" t="str">
        <f t="shared" si="24"/>
        <v/>
      </c>
      <c r="J61" s="210" t="str">
        <f t="shared" si="24"/>
        <v/>
      </c>
      <c r="K61" s="210" t="str">
        <f t="shared" si="24"/>
        <v/>
      </c>
      <c r="L61" s="210" t="str">
        <f t="shared" si="24"/>
        <v/>
      </c>
      <c r="M61" s="210" t="str">
        <f t="shared" si="24"/>
        <v/>
      </c>
      <c r="N61" s="210" t="str">
        <f t="shared" si="24"/>
        <v/>
      </c>
      <c r="O61" s="210" t="str">
        <f t="shared" si="24"/>
        <v/>
      </c>
      <c r="P61" s="210" t="str">
        <f t="shared" si="24"/>
        <v/>
      </c>
      <c r="Q61" s="210" t="str">
        <f t="shared" si="24"/>
        <v/>
      </c>
      <c r="R61" s="210" t="str">
        <f t="shared" si="24"/>
        <v/>
      </c>
      <c r="S61" s="210" t="str">
        <f t="shared" si="24"/>
        <v/>
      </c>
      <c r="T61" s="210" t="str">
        <f t="shared" si="24"/>
        <v/>
      </c>
      <c r="U61" s="210" t="str">
        <f t="shared" si="24"/>
        <v/>
      </c>
      <c r="V61" s="210" t="str">
        <f t="shared" si="24"/>
        <v/>
      </c>
      <c r="W61" s="210" t="str">
        <f t="shared" si="24"/>
        <v/>
      </c>
      <c r="X61" s="210" t="str">
        <f t="shared" si="24"/>
        <v/>
      </c>
      <c r="Y61" s="210" t="str">
        <f t="shared" si="24"/>
        <v/>
      </c>
      <c r="Z61" s="210" t="str">
        <f t="shared" si="24"/>
        <v/>
      </c>
      <c r="AA61" s="210" t="str">
        <f t="shared" si="24"/>
        <v/>
      </c>
      <c r="AB61" s="210" t="str">
        <f t="shared" si="24"/>
        <v/>
      </c>
      <c r="AC61" s="210" t="str">
        <f t="shared" si="24"/>
        <v/>
      </c>
      <c r="AD61" s="210" t="str">
        <f t="shared" si="24"/>
        <v/>
      </c>
      <c r="AE61" s="304" t="str">
        <f>IF(AK61="","","土日数")</f>
        <v/>
      </c>
      <c r="AF61" s="305"/>
      <c r="AG61" s="306" t="str">
        <f>IFERROR(NETWORKDAYS.INTL(AK61,IF(AL62="〇",AK62,$Q$7),"1111100"),"")</f>
        <v/>
      </c>
      <c r="AH61" s="307"/>
      <c r="AJ61" s="60">
        <f>28*8</f>
        <v>224</v>
      </c>
      <c r="AK61" s="353" t="str">
        <f>IF($AK$15+AJ61&lt;=$AK$6,$AK$15+AJ61,"")</f>
        <v/>
      </c>
      <c r="AL61" s="353"/>
    </row>
    <row r="62" spans="1:38" ht="23.25" customHeight="1">
      <c r="A62" s="356"/>
      <c r="B62" s="54" t="s">
        <v>1</v>
      </c>
      <c r="C62" s="179" t="str">
        <f>IF($AK$15+$AD$12+$AJ55&lt;=$Q$7,$AK$15+$AD$12+$AJ55,"")</f>
        <v/>
      </c>
      <c r="D62" s="179" t="str">
        <f t="shared" ref="D62:AD62" si="25">IF($AK$15+$AJ61+C$12&lt;=$Q$7,$AK$15+$AJ61+C$12,"")</f>
        <v/>
      </c>
      <c r="E62" s="179" t="str">
        <f t="shared" si="25"/>
        <v/>
      </c>
      <c r="F62" s="179" t="str">
        <f t="shared" si="25"/>
        <v/>
      </c>
      <c r="G62" s="179" t="str">
        <f t="shared" si="25"/>
        <v/>
      </c>
      <c r="H62" s="179" t="str">
        <f t="shared" si="25"/>
        <v/>
      </c>
      <c r="I62" s="179" t="str">
        <f t="shared" si="25"/>
        <v/>
      </c>
      <c r="J62" s="179" t="str">
        <f t="shared" si="25"/>
        <v/>
      </c>
      <c r="K62" s="179" t="str">
        <f t="shared" si="25"/>
        <v/>
      </c>
      <c r="L62" s="179" t="str">
        <f t="shared" si="25"/>
        <v/>
      </c>
      <c r="M62" s="179" t="str">
        <f t="shared" si="25"/>
        <v/>
      </c>
      <c r="N62" s="179" t="str">
        <f t="shared" si="25"/>
        <v/>
      </c>
      <c r="O62" s="179" t="str">
        <f t="shared" si="25"/>
        <v/>
      </c>
      <c r="P62" s="179" t="str">
        <f t="shared" si="25"/>
        <v/>
      </c>
      <c r="Q62" s="179" t="str">
        <f t="shared" si="25"/>
        <v/>
      </c>
      <c r="R62" s="179" t="str">
        <f t="shared" si="25"/>
        <v/>
      </c>
      <c r="S62" s="179" t="str">
        <f t="shared" si="25"/>
        <v/>
      </c>
      <c r="T62" s="179" t="str">
        <f t="shared" si="25"/>
        <v/>
      </c>
      <c r="U62" s="179" t="str">
        <f t="shared" si="25"/>
        <v/>
      </c>
      <c r="V62" s="179" t="str">
        <f t="shared" si="25"/>
        <v/>
      </c>
      <c r="W62" s="179" t="str">
        <f t="shared" si="25"/>
        <v/>
      </c>
      <c r="X62" s="179" t="str">
        <f t="shared" si="25"/>
        <v/>
      </c>
      <c r="Y62" s="179" t="str">
        <f t="shared" si="25"/>
        <v/>
      </c>
      <c r="Z62" s="179" t="str">
        <f t="shared" si="25"/>
        <v/>
      </c>
      <c r="AA62" s="179" t="str">
        <f t="shared" si="25"/>
        <v/>
      </c>
      <c r="AB62" s="179" t="str">
        <f t="shared" si="25"/>
        <v/>
      </c>
      <c r="AC62" s="179" t="str">
        <f t="shared" si="25"/>
        <v/>
      </c>
      <c r="AD62" s="179" t="str">
        <f t="shared" si="25"/>
        <v/>
      </c>
      <c r="AE62" s="308" t="str">
        <f>IF(AK61="","","現場閉所率")</f>
        <v/>
      </c>
      <c r="AF62" s="309"/>
      <c r="AG62" s="314" t="str">
        <f>IF(AK61="","","現場閉所率")</f>
        <v/>
      </c>
      <c r="AH62" s="315"/>
      <c r="AK62" s="197" t="str">
        <f>IFERROR(AK61+28-1,"")</f>
        <v/>
      </c>
      <c r="AL62" s="197" t="str">
        <f>IFERROR(IF(AK62&lt;=$Q$7,"〇","×"),"")</f>
        <v>×</v>
      </c>
    </row>
    <row r="63" spans="1:38" ht="23.25" customHeight="1">
      <c r="A63" s="356"/>
      <c r="B63" s="8" t="s">
        <v>2</v>
      </c>
      <c r="C63" s="183" t="str">
        <f t="shared" ref="C63:AD63" si="26">TEXT(C62,"aaa")</f>
        <v/>
      </c>
      <c r="D63" s="183" t="str">
        <f t="shared" si="26"/>
        <v/>
      </c>
      <c r="E63" s="183" t="str">
        <f t="shared" si="26"/>
        <v/>
      </c>
      <c r="F63" s="183" t="str">
        <f t="shared" si="26"/>
        <v/>
      </c>
      <c r="G63" s="183" t="str">
        <f t="shared" si="26"/>
        <v/>
      </c>
      <c r="H63" s="183" t="str">
        <f t="shared" si="26"/>
        <v/>
      </c>
      <c r="I63" s="183" t="str">
        <f t="shared" si="26"/>
        <v/>
      </c>
      <c r="J63" s="183" t="str">
        <f t="shared" si="26"/>
        <v/>
      </c>
      <c r="K63" s="183" t="str">
        <f t="shared" si="26"/>
        <v/>
      </c>
      <c r="L63" s="183" t="str">
        <f t="shared" si="26"/>
        <v/>
      </c>
      <c r="M63" s="183" t="str">
        <f t="shared" si="26"/>
        <v/>
      </c>
      <c r="N63" s="183" t="str">
        <f t="shared" si="26"/>
        <v/>
      </c>
      <c r="O63" s="183" t="str">
        <f t="shared" si="26"/>
        <v/>
      </c>
      <c r="P63" s="183" t="str">
        <f t="shared" si="26"/>
        <v/>
      </c>
      <c r="Q63" s="183" t="str">
        <f t="shared" si="26"/>
        <v/>
      </c>
      <c r="R63" s="183" t="str">
        <f t="shared" si="26"/>
        <v/>
      </c>
      <c r="S63" s="183" t="str">
        <f t="shared" si="26"/>
        <v/>
      </c>
      <c r="T63" s="183" t="str">
        <f t="shared" si="26"/>
        <v/>
      </c>
      <c r="U63" s="183" t="str">
        <f t="shared" si="26"/>
        <v/>
      </c>
      <c r="V63" s="183" t="str">
        <f t="shared" si="26"/>
        <v/>
      </c>
      <c r="W63" s="183" t="str">
        <f t="shared" si="26"/>
        <v/>
      </c>
      <c r="X63" s="183" t="str">
        <f t="shared" si="26"/>
        <v/>
      </c>
      <c r="Y63" s="183" t="str">
        <f t="shared" si="26"/>
        <v/>
      </c>
      <c r="Z63" s="183" t="str">
        <f t="shared" si="26"/>
        <v/>
      </c>
      <c r="AA63" s="183" t="str">
        <f t="shared" si="26"/>
        <v/>
      </c>
      <c r="AB63" s="183" t="str">
        <f t="shared" si="26"/>
        <v/>
      </c>
      <c r="AC63" s="183" t="str">
        <f t="shared" si="26"/>
        <v/>
      </c>
      <c r="AD63" s="183" t="str">
        <f t="shared" si="26"/>
        <v/>
      </c>
      <c r="AE63" s="300" t="str">
        <f>IFERROR(ROUNDDOWN(AF65/AE65,4),"")</f>
        <v/>
      </c>
      <c r="AF63" s="301"/>
      <c r="AG63" s="302" t="str">
        <f>IFERROR(ROUNDDOWN(AH65/AG65,4),"")</f>
        <v/>
      </c>
      <c r="AH63" s="303"/>
      <c r="AK63" s="38"/>
      <c r="AL63" s="38"/>
    </row>
    <row r="64" spans="1:38" ht="119.25" customHeight="1">
      <c r="A64" s="356"/>
      <c r="B64" s="6" t="s">
        <v>3</v>
      </c>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200" t="str">
        <f>IF(AK61="","","対象期間")</f>
        <v/>
      </c>
      <c r="AF64" s="201" t="str">
        <f>IF(AK61="","","閉所予定日数")</f>
        <v/>
      </c>
      <c r="AG64" s="204" t="str">
        <f>IF(AK61="","","対象期間")</f>
        <v/>
      </c>
      <c r="AH64" s="212" t="str">
        <f>IF(AK61="","","閉所実施日数")</f>
        <v/>
      </c>
      <c r="AI64" s="39"/>
      <c r="AJ64" s="39"/>
      <c r="AK64" s="40"/>
      <c r="AL64" s="40"/>
    </row>
    <row r="65" spans="1:38" ht="28.5" customHeight="1">
      <c r="A65" s="356"/>
      <c r="B65" s="5" t="s">
        <v>4</v>
      </c>
      <c r="C65" s="174" t="str">
        <f>IF(C61="","",IF($E$8="営繕","休",""))</f>
        <v/>
      </c>
      <c r="D65" s="174" t="str">
        <f>IF(D61="","",IF($E$8="営繕","休",""))</f>
        <v/>
      </c>
      <c r="E65" s="174"/>
      <c r="F65" s="174"/>
      <c r="G65" s="174"/>
      <c r="H65" s="174" t="str">
        <f>IF(H61="","",IF($E$8="土木","休",""))</f>
        <v/>
      </c>
      <c r="I65" s="174" t="str">
        <f>IF(I61="","",IF($E$8="土木","休",""))</f>
        <v/>
      </c>
      <c r="J65" s="174" t="str">
        <f>IF(J61="","",IF($E$8="営繕","休",""))</f>
        <v/>
      </c>
      <c r="K65" s="174" t="str">
        <f>IF(K61="","",IF($E$8="営繕","休",""))</f>
        <v/>
      </c>
      <c r="L65" s="174"/>
      <c r="M65" s="174"/>
      <c r="N65" s="174"/>
      <c r="O65" s="174" t="str">
        <f>IF(O61="","",IF($E$8="土木","休",""))</f>
        <v/>
      </c>
      <c r="P65" s="174" t="str">
        <f>IF(P61="","",IF($E$8="土木","休",""))</f>
        <v/>
      </c>
      <c r="Q65" s="174" t="str">
        <f>IF(Q61="","",IF($E$8="営繕","休",""))</f>
        <v/>
      </c>
      <c r="R65" s="174" t="str">
        <f>IF(R61="","",IF($E$8="営繕","休",""))</f>
        <v/>
      </c>
      <c r="S65" s="174"/>
      <c r="T65" s="174"/>
      <c r="U65" s="174"/>
      <c r="V65" s="174" t="str">
        <f>IF(V61="","",IF($E$8="土木","休",""))</f>
        <v/>
      </c>
      <c r="W65" s="174" t="str">
        <f>IF(W61="","",IF($E$8="土木","休",""))</f>
        <v/>
      </c>
      <c r="X65" s="174" t="str">
        <f>IF(X61="","",IF($E$8="営繕","休",""))</f>
        <v/>
      </c>
      <c r="Y65" s="174" t="str">
        <f>IF(Y61="","",IF($E$8="営繕","休",""))</f>
        <v/>
      </c>
      <c r="Z65" s="174"/>
      <c r="AA65" s="174"/>
      <c r="AB65" s="174"/>
      <c r="AC65" s="174" t="str">
        <f>IF(AC61="","",IF($E$8="土木","休",""))</f>
        <v/>
      </c>
      <c r="AD65" s="174" t="str">
        <f>IF(AD61="","",IF($E$8="土木","休",""))</f>
        <v/>
      </c>
      <c r="AE65" s="202" t="str">
        <f>IF(AK62="","",28-COUNTIF(C65:AD65,"夏")-COUNTIF(C65:AD65,"正")-COUNTIF(C65:AD65,"止")-COUNTIF(C65:AD65,"準")-COUNTIF(C65:AD65,"完"))</f>
        <v/>
      </c>
      <c r="AF65" s="203" t="str">
        <f>IF(AK62="","",COUNTIF(C65:AD65,"休"))</f>
        <v/>
      </c>
      <c r="AG65" s="205" t="str">
        <f>IF(AK62="","",28-COUNTIF(C66:AD66,"夏")-COUNTIF(C66:AD66,"正")-COUNTIF(C66:AD66,"止")-COUNTIF(C66:AD66,"準")-COUNTIF(C66:AD66,"完"))</f>
        <v/>
      </c>
      <c r="AH65" s="213" t="str">
        <f>IF(AK62="","",COUNTIF(C66:AD66,"休")+COUNTIF(C66:AD66,"代"))</f>
        <v/>
      </c>
      <c r="AJ65" s="60" t="str">
        <f>IFERROR(IF(AK62&gt;$Q$7,$Q$7-AK61+1-COUNTIF(C65:AD65,"夏")-COUNTIF(C65:AD65,"正")-COUNTIF(C65:AD65,"止")-COUNTIF(C65:AD65,"準")-COUNTIF(C65:AD65,"完"),28-COUNTIF(C65:AD65,"夏")-COUNTIF(C65:AD65,"正")-COUNTIF(C65:AD65,"止")-COUNTIF(C65:AD65,"準")-COUNTIF(C65:AD65,"完")),"")</f>
        <v/>
      </c>
      <c r="AK65" s="38"/>
      <c r="AL65" s="38"/>
    </row>
    <row r="66" spans="1:38" ht="28.5" customHeight="1" thickBot="1">
      <c r="A66" s="357"/>
      <c r="B66" s="214" t="s">
        <v>5</v>
      </c>
      <c r="C66" s="216"/>
      <c r="D66" s="215"/>
      <c r="E66" s="215"/>
      <c r="F66" s="215"/>
      <c r="G66" s="215"/>
      <c r="H66" s="215"/>
      <c r="I66" s="216"/>
      <c r="J66" s="216"/>
      <c r="K66" s="215"/>
      <c r="L66" s="215"/>
      <c r="M66" s="215"/>
      <c r="N66" s="215"/>
      <c r="O66" s="215"/>
      <c r="P66" s="216"/>
      <c r="Q66" s="216"/>
      <c r="R66" s="215"/>
      <c r="S66" s="215"/>
      <c r="T66" s="215"/>
      <c r="U66" s="215"/>
      <c r="V66" s="215"/>
      <c r="W66" s="216"/>
      <c r="X66" s="216"/>
      <c r="Y66" s="215"/>
      <c r="Z66" s="215"/>
      <c r="AA66" s="215"/>
      <c r="AB66" s="215"/>
      <c r="AC66" s="215"/>
      <c r="AD66" s="215"/>
      <c r="AE66" s="477" t="str">
        <f>IF(AK62="","",IF(AE63&gt;=0.285,"週休二日達成","未達成"))</f>
        <v/>
      </c>
      <c r="AF66" s="478"/>
      <c r="AG66" s="479" t="str">
        <f>IF(AK62="","",IF(AG63&gt;=0.285,"週休二日達成","未達成"))</f>
        <v/>
      </c>
      <c r="AH66" s="480"/>
      <c r="AJ66" s="60"/>
      <c r="AK66" s="41">
        <f>IFERROR(ROUND(AF65/AE65,3),0)</f>
        <v>0</v>
      </c>
      <c r="AL66" s="42">
        <f>IFERROR(ROUND(AH65/AG65,3),0)</f>
        <v>0</v>
      </c>
    </row>
    <row r="67" spans="1:38" ht="23.25" customHeight="1">
      <c r="A67" s="355" t="str">
        <f>IF(AK67="","","第10期")</f>
        <v/>
      </c>
      <c r="B67" s="209" t="s">
        <v>0</v>
      </c>
      <c r="C67" s="210" t="str">
        <f>IF($AK$15+$AD$12+$AJ61&lt;=$Q$7,$AK$15+$AD$12+$AJ61,"")</f>
        <v/>
      </c>
      <c r="D67" s="210" t="str">
        <f t="shared" ref="D67:AD67" si="27">IF($AK$15+$AJ67+C$12&lt;=$Q$7,$AK$15+$AJ67+C$12,"")</f>
        <v/>
      </c>
      <c r="E67" s="210" t="str">
        <f t="shared" si="27"/>
        <v/>
      </c>
      <c r="F67" s="210" t="str">
        <f t="shared" si="27"/>
        <v/>
      </c>
      <c r="G67" s="210" t="str">
        <f t="shared" si="27"/>
        <v/>
      </c>
      <c r="H67" s="210" t="str">
        <f t="shared" si="27"/>
        <v/>
      </c>
      <c r="I67" s="210" t="str">
        <f t="shared" si="27"/>
        <v/>
      </c>
      <c r="J67" s="210" t="str">
        <f t="shared" si="27"/>
        <v/>
      </c>
      <c r="K67" s="210" t="str">
        <f t="shared" si="27"/>
        <v/>
      </c>
      <c r="L67" s="210" t="str">
        <f t="shared" si="27"/>
        <v/>
      </c>
      <c r="M67" s="210" t="str">
        <f t="shared" si="27"/>
        <v/>
      </c>
      <c r="N67" s="210" t="str">
        <f t="shared" si="27"/>
        <v/>
      </c>
      <c r="O67" s="210" t="str">
        <f t="shared" si="27"/>
        <v/>
      </c>
      <c r="P67" s="210" t="str">
        <f t="shared" si="27"/>
        <v/>
      </c>
      <c r="Q67" s="210" t="str">
        <f t="shared" si="27"/>
        <v/>
      </c>
      <c r="R67" s="210" t="str">
        <f t="shared" si="27"/>
        <v/>
      </c>
      <c r="S67" s="210" t="str">
        <f t="shared" si="27"/>
        <v/>
      </c>
      <c r="T67" s="210" t="str">
        <f t="shared" si="27"/>
        <v/>
      </c>
      <c r="U67" s="210" t="str">
        <f t="shared" si="27"/>
        <v/>
      </c>
      <c r="V67" s="210" t="str">
        <f t="shared" si="27"/>
        <v/>
      </c>
      <c r="W67" s="210" t="str">
        <f t="shared" si="27"/>
        <v/>
      </c>
      <c r="X67" s="210" t="str">
        <f t="shared" si="27"/>
        <v/>
      </c>
      <c r="Y67" s="210" t="str">
        <f t="shared" si="27"/>
        <v/>
      </c>
      <c r="Z67" s="210" t="str">
        <f t="shared" si="27"/>
        <v/>
      </c>
      <c r="AA67" s="210" t="str">
        <f t="shared" si="27"/>
        <v/>
      </c>
      <c r="AB67" s="210" t="str">
        <f t="shared" si="27"/>
        <v/>
      </c>
      <c r="AC67" s="210" t="str">
        <f t="shared" si="27"/>
        <v/>
      </c>
      <c r="AD67" s="210" t="str">
        <f t="shared" si="27"/>
        <v/>
      </c>
      <c r="AE67" s="304" t="str">
        <f>IF(AK67="","","土日数")</f>
        <v/>
      </c>
      <c r="AF67" s="305"/>
      <c r="AG67" s="306" t="str">
        <f>IFERROR(NETWORKDAYS.INTL(AK67,IF(AL68="〇",AK68,$Q$7),"1111100"),"")</f>
        <v/>
      </c>
      <c r="AH67" s="307"/>
      <c r="AJ67" s="60">
        <f>28*9</f>
        <v>252</v>
      </c>
      <c r="AK67" s="353" t="str">
        <f>IF($AK$15+AJ67&lt;=$AK$6,$AK$15+AJ67,"")</f>
        <v/>
      </c>
      <c r="AL67" s="353"/>
    </row>
    <row r="68" spans="1:38" ht="23.25" customHeight="1">
      <c r="A68" s="356"/>
      <c r="B68" s="54" t="s">
        <v>1</v>
      </c>
      <c r="C68" s="179" t="str">
        <f>IF($AK$15+$AD$12+$AJ61&lt;=$Q$7,$AK$15+$AD$12+$AJ61,"")</f>
        <v/>
      </c>
      <c r="D68" s="179" t="str">
        <f t="shared" ref="D68:AD68" si="28">IF($AK$15+$AJ67+C$12&lt;=$Q$7,$AK$15+$AJ67+C$12,"")</f>
        <v/>
      </c>
      <c r="E68" s="179" t="str">
        <f t="shared" si="28"/>
        <v/>
      </c>
      <c r="F68" s="179" t="str">
        <f t="shared" si="28"/>
        <v/>
      </c>
      <c r="G68" s="179" t="str">
        <f t="shared" si="28"/>
        <v/>
      </c>
      <c r="H68" s="179" t="str">
        <f t="shared" si="28"/>
        <v/>
      </c>
      <c r="I68" s="179" t="str">
        <f t="shared" si="28"/>
        <v/>
      </c>
      <c r="J68" s="179" t="str">
        <f t="shared" si="28"/>
        <v/>
      </c>
      <c r="K68" s="179" t="str">
        <f t="shared" si="28"/>
        <v/>
      </c>
      <c r="L68" s="179" t="str">
        <f t="shared" si="28"/>
        <v/>
      </c>
      <c r="M68" s="179" t="str">
        <f t="shared" si="28"/>
        <v/>
      </c>
      <c r="N68" s="179" t="str">
        <f t="shared" si="28"/>
        <v/>
      </c>
      <c r="O68" s="179" t="str">
        <f t="shared" si="28"/>
        <v/>
      </c>
      <c r="P68" s="179" t="str">
        <f t="shared" si="28"/>
        <v/>
      </c>
      <c r="Q68" s="179" t="str">
        <f t="shared" si="28"/>
        <v/>
      </c>
      <c r="R68" s="179" t="str">
        <f t="shared" si="28"/>
        <v/>
      </c>
      <c r="S68" s="179" t="str">
        <f t="shared" si="28"/>
        <v/>
      </c>
      <c r="T68" s="179" t="str">
        <f t="shared" si="28"/>
        <v/>
      </c>
      <c r="U68" s="179" t="str">
        <f t="shared" si="28"/>
        <v/>
      </c>
      <c r="V68" s="179" t="str">
        <f t="shared" si="28"/>
        <v/>
      </c>
      <c r="W68" s="179" t="str">
        <f t="shared" si="28"/>
        <v/>
      </c>
      <c r="X68" s="179" t="str">
        <f t="shared" si="28"/>
        <v/>
      </c>
      <c r="Y68" s="179" t="str">
        <f t="shared" si="28"/>
        <v/>
      </c>
      <c r="Z68" s="179" t="str">
        <f t="shared" si="28"/>
        <v/>
      </c>
      <c r="AA68" s="179" t="str">
        <f t="shared" si="28"/>
        <v/>
      </c>
      <c r="AB68" s="179" t="str">
        <f t="shared" si="28"/>
        <v/>
      </c>
      <c r="AC68" s="179" t="str">
        <f t="shared" si="28"/>
        <v/>
      </c>
      <c r="AD68" s="179" t="str">
        <f t="shared" si="28"/>
        <v/>
      </c>
      <c r="AE68" s="308" t="str">
        <f>IF(AK67="","","現場閉所率")</f>
        <v/>
      </c>
      <c r="AF68" s="309"/>
      <c r="AG68" s="314" t="str">
        <f>IF(AK67="","","現場閉所率")</f>
        <v/>
      </c>
      <c r="AH68" s="315"/>
      <c r="AK68" s="197" t="str">
        <f>IFERROR(AK67+28-1,"")</f>
        <v/>
      </c>
      <c r="AL68" s="197" t="str">
        <f>IFERROR(IF(AK68&lt;=$Q$7,"〇","×"),"")</f>
        <v>×</v>
      </c>
    </row>
    <row r="69" spans="1:38" ht="23.25" customHeight="1">
      <c r="A69" s="356"/>
      <c r="B69" s="8" t="s">
        <v>2</v>
      </c>
      <c r="C69" s="183" t="str">
        <f t="shared" ref="C69:AD69" si="29">TEXT(C68,"aaa")</f>
        <v/>
      </c>
      <c r="D69" s="183" t="str">
        <f t="shared" si="29"/>
        <v/>
      </c>
      <c r="E69" s="183" t="str">
        <f t="shared" si="29"/>
        <v/>
      </c>
      <c r="F69" s="183" t="str">
        <f t="shared" si="29"/>
        <v/>
      </c>
      <c r="G69" s="183" t="str">
        <f t="shared" si="29"/>
        <v/>
      </c>
      <c r="H69" s="183" t="str">
        <f t="shared" si="29"/>
        <v/>
      </c>
      <c r="I69" s="183" t="str">
        <f t="shared" si="29"/>
        <v/>
      </c>
      <c r="J69" s="183" t="str">
        <f t="shared" si="29"/>
        <v/>
      </c>
      <c r="K69" s="183" t="str">
        <f t="shared" si="29"/>
        <v/>
      </c>
      <c r="L69" s="183" t="str">
        <f t="shared" si="29"/>
        <v/>
      </c>
      <c r="M69" s="183" t="str">
        <f t="shared" si="29"/>
        <v/>
      </c>
      <c r="N69" s="183" t="str">
        <f t="shared" si="29"/>
        <v/>
      </c>
      <c r="O69" s="183" t="str">
        <f t="shared" si="29"/>
        <v/>
      </c>
      <c r="P69" s="183" t="str">
        <f t="shared" si="29"/>
        <v/>
      </c>
      <c r="Q69" s="183" t="str">
        <f t="shared" si="29"/>
        <v/>
      </c>
      <c r="R69" s="183" t="str">
        <f t="shared" si="29"/>
        <v/>
      </c>
      <c r="S69" s="183" t="str">
        <f t="shared" si="29"/>
        <v/>
      </c>
      <c r="T69" s="183" t="str">
        <f t="shared" si="29"/>
        <v/>
      </c>
      <c r="U69" s="183" t="str">
        <f t="shared" si="29"/>
        <v/>
      </c>
      <c r="V69" s="183" t="str">
        <f t="shared" si="29"/>
        <v/>
      </c>
      <c r="W69" s="183" t="str">
        <f t="shared" si="29"/>
        <v/>
      </c>
      <c r="X69" s="183" t="str">
        <f t="shared" si="29"/>
        <v/>
      </c>
      <c r="Y69" s="183" t="str">
        <f t="shared" si="29"/>
        <v/>
      </c>
      <c r="Z69" s="183" t="str">
        <f t="shared" si="29"/>
        <v/>
      </c>
      <c r="AA69" s="183" t="str">
        <f t="shared" si="29"/>
        <v/>
      </c>
      <c r="AB69" s="183" t="str">
        <f t="shared" si="29"/>
        <v/>
      </c>
      <c r="AC69" s="183" t="str">
        <f t="shared" si="29"/>
        <v/>
      </c>
      <c r="AD69" s="183" t="str">
        <f t="shared" si="29"/>
        <v/>
      </c>
      <c r="AE69" s="300" t="str">
        <f>IFERROR(ROUNDDOWN(AF71/AE71,4),"")</f>
        <v/>
      </c>
      <c r="AF69" s="301"/>
      <c r="AG69" s="302" t="str">
        <f>IFERROR(ROUNDDOWN(AH71/AG71,4),"")</f>
        <v/>
      </c>
      <c r="AH69" s="303"/>
      <c r="AK69" s="38"/>
      <c r="AL69" s="38"/>
    </row>
    <row r="70" spans="1:38" ht="119.25" customHeight="1">
      <c r="A70" s="356"/>
      <c r="B70" s="6" t="s">
        <v>3</v>
      </c>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200" t="str">
        <f>IF(AK67="","","対象期間")</f>
        <v/>
      </c>
      <c r="AF70" s="201" t="str">
        <f>IF(AK67="","","閉所予定日数")</f>
        <v/>
      </c>
      <c r="AG70" s="204" t="str">
        <f>IF(AK67="","","対象期間")</f>
        <v/>
      </c>
      <c r="AH70" s="212" t="str">
        <f>IF(AK67="","","閉所実施日数")</f>
        <v/>
      </c>
      <c r="AI70" s="39"/>
      <c r="AK70" s="40"/>
      <c r="AL70" s="40"/>
    </row>
    <row r="71" spans="1:38" ht="28.5" customHeight="1">
      <c r="A71" s="356"/>
      <c r="B71" s="5" t="s">
        <v>4</v>
      </c>
      <c r="C71" s="174" t="str">
        <f>IF(C67="","",IF($E$8="営繕","休",""))</f>
        <v/>
      </c>
      <c r="D71" s="174" t="str">
        <f>IF(D67="","",IF($E$8="営繕","休",""))</f>
        <v/>
      </c>
      <c r="E71" s="174"/>
      <c r="F71" s="174"/>
      <c r="G71" s="174"/>
      <c r="H71" s="174" t="str">
        <f>IF(H67="","",IF($E$8="土木","休",""))</f>
        <v/>
      </c>
      <c r="I71" s="174" t="str">
        <f>IF(I67="","",IF($E$8="土木","休",""))</f>
        <v/>
      </c>
      <c r="J71" s="174" t="str">
        <f>IF(J67="","",IF($E$8="営繕","休",""))</f>
        <v/>
      </c>
      <c r="K71" s="174" t="str">
        <f>IF(K67="","",IF($E$8="営繕","休",""))</f>
        <v/>
      </c>
      <c r="L71" s="174"/>
      <c r="M71" s="174"/>
      <c r="N71" s="174"/>
      <c r="O71" s="174" t="str">
        <f>IF(O67="","",IF($E$8="土木","休",""))</f>
        <v/>
      </c>
      <c r="P71" s="174" t="str">
        <f>IF(P67="","",IF($E$8="土木","休",""))</f>
        <v/>
      </c>
      <c r="Q71" s="174" t="str">
        <f>IF(Q67="","",IF($E$8="営繕","休",""))</f>
        <v/>
      </c>
      <c r="R71" s="174" t="str">
        <f>IF(R67="","",IF($E$8="営繕","休",""))</f>
        <v/>
      </c>
      <c r="S71" s="174"/>
      <c r="T71" s="174"/>
      <c r="U71" s="174"/>
      <c r="V71" s="174" t="str">
        <f>IF(V67="","",IF($E$8="土木","休",""))</f>
        <v/>
      </c>
      <c r="W71" s="174" t="str">
        <f>IF(W67="","",IF($E$8="土木","休",""))</f>
        <v/>
      </c>
      <c r="X71" s="174" t="str">
        <f>IF(X67="","",IF($E$8="営繕","休",""))</f>
        <v/>
      </c>
      <c r="Y71" s="174" t="str">
        <f>IF(Y67="","",IF($E$8="営繕","休",""))</f>
        <v/>
      </c>
      <c r="Z71" s="174"/>
      <c r="AA71" s="174"/>
      <c r="AB71" s="174"/>
      <c r="AC71" s="174" t="str">
        <f>IF(AC67="","",IF($E$8="土木","休",""))</f>
        <v/>
      </c>
      <c r="AD71" s="174" t="str">
        <f>IF(AD67="","",IF($E$8="土木","休",""))</f>
        <v/>
      </c>
      <c r="AE71" s="202" t="str">
        <f>IF(AK68="","",28-COUNTIF(C71:AD71,"夏")-COUNTIF(C71:AD71,"正")-COUNTIF(C71:AD71,"止")-COUNTIF(C71:AD71,"準")-COUNTIF(C71:AD71,"完"))</f>
        <v/>
      </c>
      <c r="AF71" s="203" t="str">
        <f>IF(AK68="","",COUNTIF(C71:AD71,"休"))</f>
        <v/>
      </c>
      <c r="AG71" s="205" t="str">
        <f>IF(AK68="","",28-COUNTIF(C72:AD72,"夏")-COUNTIF(C72:AD72,"正")-COUNTIF(C72:AD72,"止")-COUNTIF(C72:AD72,"準")-COUNTIF(C72:AD72,"完"))</f>
        <v/>
      </c>
      <c r="AH71" s="213" t="str">
        <f>IF(AK68="","",COUNTIF(C72:AD72,"休")+COUNTIF(C72:AD72,"代"))</f>
        <v/>
      </c>
      <c r="AJ71" s="60" t="str">
        <f>IFERROR(IF(AK68&gt;$Q$7,$Q$7-AK67+1-COUNTIF(C71:AD71,"夏")-COUNTIF(C71:AD71,"正")-COUNTIF(C71:AD71,"止")-COUNTIF(C71:AD71,"準")-COUNTIF(C71:AD71,"完"),28-COUNTIF(C71:AD71,"夏")-COUNTIF(C71:AD71,"正")-COUNTIF(C71:AD71,"止")-COUNTIF(C71:AD71,"準")-COUNTIF(C71:AD71,"完")),"")</f>
        <v/>
      </c>
      <c r="AK71" s="38"/>
      <c r="AL71" s="38"/>
    </row>
    <row r="72" spans="1:38" ht="28.5" customHeight="1" thickBot="1">
      <c r="A72" s="357"/>
      <c r="B72" s="214" t="s">
        <v>5</v>
      </c>
      <c r="C72" s="216"/>
      <c r="D72" s="215"/>
      <c r="E72" s="215"/>
      <c r="F72" s="215"/>
      <c r="G72" s="215"/>
      <c r="H72" s="215"/>
      <c r="I72" s="216"/>
      <c r="J72" s="216"/>
      <c r="K72" s="215"/>
      <c r="L72" s="215"/>
      <c r="M72" s="215"/>
      <c r="N72" s="215"/>
      <c r="O72" s="215"/>
      <c r="P72" s="215"/>
      <c r="Q72" s="215"/>
      <c r="R72" s="215"/>
      <c r="S72" s="215"/>
      <c r="T72" s="215"/>
      <c r="U72" s="215"/>
      <c r="V72" s="215"/>
      <c r="W72" s="215"/>
      <c r="X72" s="215"/>
      <c r="Y72" s="215"/>
      <c r="Z72" s="215"/>
      <c r="AA72" s="215"/>
      <c r="AB72" s="215"/>
      <c r="AC72" s="215"/>
      <c r="AD72" s="215"/>
      <c r="AE72" s="477" t="str">
        <f>IF(AK68="","",IF(AE69&gt;=0.285,"週休二日達成","未達成"))</f>
        <v/>
      </c>
      <c r="AF72" s="478"/>
      <c r="AG72" s="479" t="str">
        <f>IF(AK68="","",IF(AG69&gt;=0.285,"週休二日達成","未達成"))</f>
        <v/>
      </c>
      <c r="AH72" s="480"/>
      <c r="AJ72" s="60"/>
      <c r="AK72" s="41">
        <f>IFERROR(ROUND(AF71/AE71,3),0)</f>
        <v>0</v>
      </c>
      <c r="AL72" s="42">
        <f>IFERROR(ROUND(AH71/AG71,3),0)</f>
        <v>0</v>
      </c>
    </row>
    <row r="73" spans="1:38" ht="23.25" customHeight="1">
      <c r="A73" s="355" t="str">
        <f>IF(AK73="","","第11期")</f>
        <v/>
      </c>
      <c r="B73" s="209" t="s">
        <v>0</v>
      </c>
      <c r="C73" s="210" t="str">
        <f>IF($AK$15+$AD$12+$AJ67&lt;=$Q$7,$AK$15+$AD$12+$AJ67,"")</f>
        <v/>
      </c>
      <c r="D73" s="210" t="str">
        <f t="shared" ref="D73:AD73" si="30">IF($AK$15+$AJ73+C$12&lt;=$Q$7,$AK$15+$AJ73+C$12,"")</f>
        <v/>
      </c>
      <c r="E73" s="210" t="str">
        <f t="shared" si="30"/>
        <v/>
      </c>
      <c r="F73" s="210" t="str">
        <f t="shared" si="30"/>
        <v/>
      </c>
      <c r="G73" s="210" t="str">
        <f t="shared" si="30"/>
        <v/>
      </c>
      <c r="H73" s="210" t="str">
        <f t="shared" si="30"/>
        <v/>
      </c>
      <c r="I73" s="210" t="str">
        <f t="shared" si="30"/>
        <v/>
      </c>
      <c r="J73" s="210" t="str">
        <f t="shared" si="30"/>
        <v/>
      </c>
      <c r="K73" s="210" t="str">
        <f t="shared" si="30"/>
        <v/>
      </c>
      <c r="L73" s="210" t="str">
        <f t="shared" si="30"/>
        <v/>
      </c>
      <c r="M73" s="210" t="str">
        <f t="shared" si="30"/>
        <v/>
      </c>
      <c r="N73" s="210" t="str">
        <f t="shared" si="30"/>
        <v/>
      </c>
      <c r="O73" s="210" t="str">
        <f t="shared" si="30"/>
        <v/>
      </c>
      <c r="P73" s="210" t="str">
        <f t="shared" si="30"/>
        <v/>
      </c>
      <c r="Q73" s="210" t="str">
        <f t="shared" si="30"/>
        <v/>
      </c>
      <c r="R73" s="210" t="str">
        <f t="shared" si="30"/>
        <v/>
      </c>
      <c r="S73" s="210" t="str">
        <f t="shared" si="30"/>
        <v/>
      </c>
      <c r="T73" s="210" t="str">
        <f t="shared" si="30"/>
        <v/>
      </c>
      <c r="U73" s="210" t="str">
        <f t="shared" si="30"/>
        <v/>
      </c>
      <c r="V73" s="210" t="str">
        <f t="shared" si="30"/>
        <v/>
      </c>
      <c r="W73" s="210" t="str">
        <f t="shared" si="30"/>
        <v/>
      </c>
      <c r="X73" s="210" t="str">
        <f t="shared" si="30"/>
        <v/>
      </c>
      <c r="Y73" s="210" t="str">
        <f t="shared" si="30"/>
        <v/>
      </c>
      <c r="Z73" s="210" t="str">
        <f t="shared" si="30"/>
        <v/>
      </c>
      <c r="AA73" s="210" t="str">
        <f t="shared" si="30"/>
        <v/>
      </c>
      <c r="AB73" s="210" t="str">
        <f t="shared" si="30"/>
        <v/>
      </c>
      <c r="AC73" s="210" t="str">
        <f t="shared" si="30"/>
        <v/>
      </c>
      <c r="AD73" s="210" t="str">
        <f t="shared" si="30"/>
        <v/>
      </c>
      <c r="AE73" s="304" t="str">
        <f>IF(AK73="","","土日数")</f>
        <v/>
      </c>
      <c r="AF73" s="305"/>
      <c r="AG73" s="306" t="str">
        <f>IFERROR(NETWORKDAYS.INTL(AK73,IF(AL74="〇",AK74,$Q$7),"1111100"),"")</f>
        <v/>
      </c>
      <c r="AH73" s="307"/>
      <c r="AJ73" s="60">
        <f>28*10</f>
        <v>280</v>
      </c>
      <c r="AK73" s="353" t="str">
        <f>IF($AK$15+AJ73&lt;=$AK$6,$AK$15+AJ73,"")</f>
        <v/>
      </c>
      <c r="AL73" s="353"/>
    </row>
    <row r="74" spans="1:38" ht="23.25" customHeight="1">
      <c r="A74" s="356"/>
      <c r="B74" s="54" t="s">
        <v>1</v>
      </c>
      <c r="C74" s="179" t="str">
        <f>IF($AK$15+$AD$12+$AJ67&lt;=$Q$7,$AK$15+$AD$12+$AJ67,"")</f>
        <v/>
      </c>
      <c r="D74" s="179" t="str">
        <f t="shared" ref="D74:AD74" si="31">IF($AK$15+$AJ73+C$12&lt;=$Q$7,$AK$15+$AJ73+C$12,"")</f>
        <v/>
      </c>
      <c r="E74" s="179" t="str">
        <f t="shared" si="31"/>
        <v/>
      </c>
      <c r="F74" s="179" t="str">
        <f t="shared" si="31"/>
        <v/>
      </c>
      <c r="G74" s="179" t="str">
        <f t="shared" si="31"/>
        <v/>
      </c>
      <c r="H74" s="179" t="str">
        <f t="shared" si="31"/>
        <v/>
      </c>
      <c r="I74" s="179" t="str">
        <f t="shared" si="31"/>
        <v/>
      </c>
      <c r="J74" s="179" t="str">
        <f t="shared" si="31"/>
        <v/>
      </c>
      <c r="K74" s="179" t="str">
        <f t="shared" si="31"/>
        <v/>
      </c>
      <c r="L74" s="179" t="str">
        <f t="shared" si="31"/>
        <v/>
      </c>
      <c r="M74" s="179" t="str">
        <f t="shared" si="31"/>
        <v/>
      </c>
      <c r="N74" s="179" t="str">
        <f t="shared" si="31"/>
        <v/>
      </c>
      <c r="O74" s="179" t="str">
        <f t="shared" si="31"/>
        <v/>
      </c>
      <c r="P74" s="179" t="str">
        <f t="shared" si="31"/>
        <v/>
      </c>
      <c r="Q74" s="179" t="str">
        <f t="shared" si="31"/>
        <v/>
      </c>
      <c r="R74" s="179" t="str">
        <f t="shared" si="31"/>
        <v/>
      </c>
      <c r="S74" s="179" t="str">
        <f t="shared" si="31"/>
        <v/>
      </c>
      <c r="T74" s="179" t="str">
        <f t="shared" si="31"/>
        <v/>
      </c>
      <c r="U74" s="179" t="str">
        <f t="shared" si="31"/>
        <v/>
      </c>
      <c r="V74" s="179" t="str">
        <f t="shared" si="31"/>
        <v/>
      </c>
      <c r="W74" s="179" t="str">
        <f t="shared" si="31"/>
        <v/>
      </c>
      <c r="X74" s="179" t="str">
        <f t="shared" si="31"/>
        <v/>
      </c>
      <c r="Y74" s="179" t="str">
        <f t="shared" si="31"/>
        <v/>
      </c>
      <c r="Z74" s="179" t="str">
        <f t="shared" si="31"/>
        <v/>
      </c>
      <c r="AA74" s="179" t="str">
        <f t="shared" si="31"/>
        <v/>
      </c>
      <c r="AB74" s="179" t="str">
        <f t="shared" si="31"/>
        <v/>
      </c>
      <c r="AC74" s="179" t="str">
        <f t="shared" si="31"/>
        <v/>
      </c>
      <c r="AD74" s="179" t="str">
        <f t="shared" si="31"/>
        <v/>
      </c>
      <c r="AE74" s="308" t="str">
        <f>IF(AK73="","","現場閉所率")</f>
        <v/>
      </c>
      <c r="AF74" s="309"/>
      <c r="AG74" s="314" t="str">
        <f>IF(AK73="","","現場閉所率")</f>
        <v/>
      </c>
      <c r="AH74" s="315"/>
      <c r="AK74" s="197" t="str">
        <f>IFERROR(AK73+28-1,"")</f>
        <v/>
      </c>
      <c r="AL74" s="197" t="str">
        <f>IFERROR(IF(AK74&lt;=$Q$7,"〇","×"),"")</f>
        <v>×</v>
      </c>
    </row>
    <row r="75" spans="1:38" ht="23.25" customHeight="1">
      <c r="A75" s="356"/>
      <c r="B75" s="8" t="s">
        <v>2</v>
      </c>
      <c r="C75" s="183" t="str">
        <f t="shared" ref="C75:AD75" si="32">TEXT(C74,"aaa")</f>
        <v/>
      </c>
      <c r="D75" s="183" t="str">
        <f t="shared" si="32"/>
        <v/>
      </c>
      <c r="E75" s="183" t="str">
        <f t="shared" si="32"/>
        <v/>
      </c>
      <c r="F75" s="183" t="str">
        <f t="shared" si="32"/>
        <v/>
      </c>
      <c r="G75" s="183" t="str">
        <f t="shared" si="32"/>
        <v/>
      </c>
      <c r="H75" s="183" t="str">
        <f t="shared" si="32"/>
        <v/>
      </c>
      <c r="I75" s="183" t="str">
        <f t="shared" si="32"/>
        <v/>
      </c>
      <c r="J75" s="183" t="str">
        <f t="shared" si="32"/>
        <v/>
      </c>
      <c r="K75" s="183" t="str">
        <f t="shared" si="32"/>
        <v/>
      </c>
      <c r="L75" s="183" t="str">
        <f t="shared" si="32"/>
        <v/>
      </c>
      <c r="M75" s="183" t="str">
        <f t="shared" si="32"/>
        <v/>
      </c>
      <c r="N75" s="183" t="str">
        <f t="shared" si="32"/>
        <v/>
      </c>
      <c r="O75" s="183" t="str">
        <f t="shared" si="32"/>
        <v/>
      </c>
      <c r="P75" s="183" t="str">
        <f t="shared" si="32"/>
        <v/>
      </c>
      <c r="Q75" s="183" t="str">
        <f t="shared" si="32"/>
        <v/>
      </c>
      <c r="R75" s="183" t="str">
        <f t="shared" si="32"/>
        <v/>
      </c>
      <c r="S75" s="183" t="str">
        <f t="shared" si="32"/>
        <v/>
      </c>
      <c r="T75" s="183" t="str">
        <f t="shared" si="32"/>
        <v/>
      </c>
      <c r="U75" s="183" t="str">
        <f t="shared" si="32"/>
        <v/>
      </c>
      <c r="V75" s="183" t="str">
        <f t="shared" si="32"/>
        <v/>
      </c>
      <c r="W75" s="183" t="str">
        <f t="shared" si="32"/>
        <v/>
      </c>
      <c r="X75" s="183" t="str">
        <f t="shared" si="32"/>
        <v/>
      </c>
      <c r="Y75" s="183" t="str">
        <f t="shared" si="32"/>
        <v/>
      </c>
      <c r="Z75" s="183" t="str">
        <f t="shared" si="32"/>
        <v/>
      </c>
      <c r="AA75" s="183" t="str">
        <f t="shared" si="32"/>
        <v/>
      </c>
      <c r="AB75" s="183" t="str">
        <f t="shared" si="32"/>
        <v/>
      </c>
      <c r="AC75" s="183" t="str">
        <f t="shared" si="32"/>
        <v/>
      </c>
      <c r="AD75" s="183" t="str">
        <f t="shared" si="32"/>
        <v/>
      </c>
      <c r="AE75" s="300" t="str">
        <f>IFERROR(ROUNDDOWN(AF77/AE77,4),"")</f>
        <v/>
      </c>
      <c r="AF75" s="301"/>
      <c r="AG75" s="302" t="str">
        <f>IFERROR(ROUNDDOWN(AH77/AG77,4),"")</f>
        <v/>
      </c>
      <c r="AH75" s="303"/>
      <c r="AK75" s="38"/>
      <c r="AL75" s="38"/>
    </row>
    <row r="76" spans="1:38" ht="119.25" customHeight="1">
      <c r="A76" s="356"/>
      <c r="B76" s="6" t="s">
        <v>3</v>
      </c>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200" t="str">
        <f>IF(AK73="","","対象期間")</f>
        <v/>
      </c>
      <c r="AF76" s="201" t="str">
        <f>IF(AK73="","","閉所予定日数")</f>
        <v/>
      </c>
      <c r="AG76" s="204" t="str">
        <f>IF(AK73="","","対象期間")</f>
        <v/>
      </c>
      <c r="AH76" s="212" t="str">
        <f>IF(AK73="","","閉所実施日数")</f>
        <v/>
      </c>
      <c r="AI76" s="39"/>
      <c r="AK76" s="40"/>
      <c r="AL76" s="40"/>
    </row>
    <row r="77" spans="1:38" ht="28.5" customHeight="1">
      <c r="A77" s="356"/>
      <c r="B77" s="5" t="s">
        <v>4</v>
      </c>
      <c r="C77" s="174" t="str">
        <f>IF(C73="","",IF($E$8="営繕","休",""))</f>
        <v/>
      </c>
      <c r="D77" s="174" t="str">
        <f>IF(D73="","",IF($E$8="営繕","休",""))</f>
        <v/>
      </c>
      <c r="E77" s="174"/>
      <c r="F77" s="174"/>
      <c r="G77" s="174"/>
      <c r="H77" s="174" t="str">
        <f>IF(H73="","",IF($E$8="土木","休",""))</f>
        <v/>
      </c>
      <c r="I77" s="174" t="str">
        <f>IF(I73="","",IF($E$8="土木","休",""))</f>
        <v/>
      </c>
      <c r="J77" s="174" t="str">
        <f>IF(J73="","",IF($E$8="営繕","休",""))</f>
        <v/>
      </c>
      <c r="K77" s="174" t="str">
        <f>IF(K73="","",IF($E$8="営繕","休",""))</f>
        <v/>
      </c>
      <c r="L77" s="174"/>
      <c r="M77" s="174"/>
      <c r="N77" s="174"/>
      <c r="O77" s="174" t="str">
        <f>IF(O73="","",IF($E$8="土木","休",""))</f>
        <v/>
      </c>
      <c r="P77" s="174" t="str">
        <f>IF(P73="","",IF($E$8="土木","休",""))</f>
        <v/>
      </c>
      <c r="Q77" s="174" t="str">
        <f>IF(Q73="","",IF($E$8="営繕","休",""))</f>
        <v/>
      </c>
      <c r="R77" s="174" t="str">
        <f>IF(R73="","",IF($E$8="営繕","休",""))</f>
        <v/>
      </c>
      <c r="S77" s="174"/>
      <c r="T77" s="174"/>
      <c r="U77" s="174"/>
      <c r="V77" s="174" t="str">
        <f>IF(V73="","",IF($E$8="土木","休",""))</f>
        <v/>
      </c>
      <c r="W77" s="174" t="str">
        <f>IF(W73="","",IF($E$8="土木","休",""))</f>
        <v/>
      </c>
      <c r="X77" s="174" t="str">
        <f>IF(X73="","",IF($E$8="営繕","休",""))</f>
        <v/>
      </c>
      <c r="Y77" s="174" t="str">
        <f>IF(Y73="","",IF($E$8="営繕","休",""))</f>
        <v/>
      </c>
      <c r="Z77" s="174"/>
      <c r="AA77" s="174"/>
      <c r="AB77" s="174"/>
      <c r="AC77" s="174" t="str">
        <f>IF(AC73="","",IF($E$8="土木","休",""))</f>
        <v/>
      </c>
      <c r="AD77" s="174" t="str">
        <f>IF(AD73="","",IF($E$8="土木","休",""))</f>
        <v/>
      </c>
      <c r="AE77" s="202" t="str">
        <f>IF(AK74="","",28-COUNTIF(C77:AD77,"夏")-COUNTIF(C77:AD77,"正")-COUNTIF(C77:AD77,"止")-COUNTIF(C77:AD77,"準")-COUNTIF(C77:AD77,"完"))</f>
        <v/>
      </c>
      <c r="AF77" s="203" t="str">
        <f>IF(AK74="","",COUNTIF(C77:AD77,"休"))</f>
        <v/>
      </c>
      <c r="AG77" s="205" t="str">
        <f>IF(AK74="","",28-COUNTIF(C78:AD78,"夏")-COUNTIF(C78:AD78,"正")-COUNTIF(C78:AD78,"止")-COUNTIF(C78:AD78,"準")-COUNTIF(C78:AD78,"完"))</f>
        <v/>
      </c>
      <c r="AH77" s="213" t="str">
        <f>IF(AK74="","",COUNTIF(C78:AD78,"休")+COUNTIF(C78:AD78,"代"))</f>
        <v/>
      </c>
      <c r="AJ77" s="60" t="str">
        <f>IFERROR(IF(AK74&gt;$Q$7,$Q$7-AK73+1-COUNTIF(C77:AD77,"夏")-COUNTIF(C77:AD77,"正")-COUNTIF(C77:AD77,"止")-COUNTIF(C77:AD77,"準")-COUNTIF(C77:AD77,"完"),28-COUNTIF(C77:AD77,"夏")-COUNTIF(C77:AD77,"正")-COUNTIF(C77:AD77,"止")-COUNTIF(C77:AD77,"準")-COUNTIF(C77:AD77,"完")),"")</f>
        <v/>
      </c>
      <c r="AK77" s="38"/>
      <c r="AL77" s="38"/>
    </row>
    <row r="78" spans="1:38" ht="28.5" customHeight="1" thickBot="1">
      <c r="A78" s="357"/>
      <c r="B78" s="214" t="s">
        <v>5</v>
      </c>
      <c r="C78" s="215"/>
      <c r="D78" s="215"/>
      <c r="E78" s="215"/>
      <c r="F78" s="215"/>
      <c r="G78" s="215"/>
      <c r="H78" s="215"/>
      <c r="I78" s="215"/>
      <c r="J78" s="215"/>
      <c r="K78" s="215"/>
      <c r="L78" s="215"/>
      <c r="M78" s="215"/>
      <c r="N78" s="215"/>
      <c r="O78" s="215"/>
      <c r="P78" s="215"/>
      <c r="Q78" s="215"/>
      <c r="R78" s="215"/>
      <c r="S78" s="215"/>
      <c r="T78" s="215"/>
      <c r="U78" s="215"/>
      <c r="V78" s="215"/>
      <c r="W78" s="215"/>
      <c r="X78" s="215"/>
      <c r="Y78" s="215"/>
      <c r="Z78" s="215"/>
      <c r="AA78" s="215"/>
      <c r="AB78" s="215"/>
      <c r="AC78" s="215"/>
      <c r="AD78" s="215"/>
      <c r="AE78" s="477" t="str">
        <f>IF(AK74="","",IF(AE75&gt;=0.285,"週休二日達成","未達成"))</f>
        <v/>
      </c>
      <c r="AF78" s="478"/>
      <c r="AG78" s="479" t="str">
        <f>IF(AK74="","",IF(AG75&gt;=0.285,"週休二日達成","未達成"))</f>
        <v/>
      </c>
      <c r="AH78" s="480"/>
      <c r="AJ78" s="39"/>
      <c r="AK78" s="41">
        <f>IFERROR(ROUND(AF77/AE77,3),0)</f>
        <v>0</v>
      </c>
      <c r="AL78" s="42">
        <f>IFERROR(ROUND(AH77/AG77,3),0)</f>
        <v>0</v>
      </c>
    </row>
    <row r="79" spans="1:38" ht="23.25" customHeight="1">
      <c r="A79" s="355" t="str">
        <f>IF(AK79="","","第12期")</f>
        <v/>
      </c>
      <c r="B79" s="209" t="s">
        <v>0</v>
      </c>
      <c r="C79" s="210" t="str">
        <f>IF($AK$15+$AD$12+$AJ73&lt;=$Q$7,$AK$15+$AD$12+$AJ73,"")</f>
        <v/>
      </c>
      <c r="D79" s="210" t="str">
        <f t="shared" ref="D79:AD79" si="33">IF($AK$15+$AJ79+C$12&lt;=$Q$7,$AK$15+$AJ79+C$12,"")</f>
        <v/>
      </c>
      <c r="E79" s="210" t="str">
        <f t="shared" si="33"/>
        <v/>
      </c>
      <c r="F79" s="210" t="str">
        <f t="shared" si="33"/>
        <v/>
      </c>
      <c r="G79" s="210" t="str">
        <f t="shared" si="33"/>
        <v/>
      </c>
      <c r="H79" s="210" t="str">
        <f t="shared" si="33"/>
        <v/>
      </c>
      <c r="I79" s="210" t="str">
        <f t="shared" si="33"/>
        <v/>
      </c>
      <c r="J79" s="210" t="str">
        <f t="shared" si="33"/>
        <v/>
      </c>
      <c r="K79" s="210" t="str">
        <f t="shared" si="33"/>
        <v/>
      </c>
      <c r="L79" s="210" t="str">
        <f t="shared" si="33"/>
        <v/>
      </c>
      <c r="M79" s="210" t="str">
        <f t="shared" si="33"/>
        <v/>
      </c>
      <c r="N79" s="210" t="str">
        <f t="shared" si="33"/>
        <v/>
      </c>
      <c r="O79" s="210" t="str">
        <f t="shared" si="33"/>
        <v/>
      </c>
      <c r="P79" s="210" t="str">
        <f t="shared" si="33"/>
        <v/>
      </c>
      <c r="Q79" s="210" t="str">
        <f t="shared" si="33"/>
        <v/>
      </c>
      <c r="R79" s="210" t="str">
        <f t="shared" si="33"/>
        <v/>
      </c>
      <c r="S79" s="210" t="str">
        <f t="shared" si="33"/>
        <v/>
      </c>
      <c r="T79" s="210" t="str">
        <f t="shared" si="33"/>
        <v/>
      </c>
      <c r="U79" s="210" t="str">
        <f t="shared" si="33"/>
        <v/>
      </c>
      <c r="V79" s="210" t="str">
        <f t="shared" si="33"/>
        <v/>
      </c>
      <c r="W79" s="210" t="str">
        <f t="shared" si="33"/>
        <v/>
      </c>
      <c r="X79" s="210" t="str">
        <f t="shared" si="33"/>
        <v/>
      </c>
      <c r="Y79" s="210" t="str">
        <f t="shared" si="33"/>
        <v/>
      </c>
      <c r="Z79" s="210" t="str">
        <f t="shared" si="33"/>
        <v/>
      </c>
      <c r="AA79" s="210" t="str">
        <f t="shared" si="33"/>
        <v/>
      </c>
      <c r="AB79" s="210" t="str">
        <f t="shared" si="33"/>
        <v/>
      </c>
      <c r="AC79" s="210" t="str">
        <f t="shared" si="33"/>
        <v/>
      </c>
      <c r="AD79" s="210" t="str">
        <f t="shared" si="33"/>
        <v/>
      </c>
      <c r="AE79" s="304" t="str">
        <f>IF(AK79="","","土日数")</f>
        <v/>
      </c>
      <c r="AF79" s="305"/>
      <c r="AG79" s="306" t="str">
        <f>IFERROR(NETWORKDAYS.INTL(AK79,IF(AL80="〇",AK80,$Q$7),"1111100"),"")</f>
        <v/>
      </c>
      <c r="AH79" s="307"/>
      <c r="AJ79" s="60">
        <f>28*11</f>
        <v>308</v>
      </c>
      <c r="AK79" s="353" t="str">
        <f>IF($AK$15+AJ79&lt;=$AK$6,$AK$15+AJ79,"")</f>
        <v/>
      </c>
      <c r="AL79" s="353"/>
    </row>
    <row r="80" spans="1:38" ht="23.25" customHeight="1">
      <c r="A80" s="356"/>
      <c r="B80" s="54" t="s">
        <v>1</v>
      </c>
      <c r="C80" s="179" t="str">
        <f>IF($AK$15+$AD$12+$AJ73&lt;=$Q$7,$AK$15+$AD$12+$AJ73,"")</f>
        <v/>
      </c>
      <c r="D80" s="179" t="str">
        <f t="shared" ref="D80:AD80" si="34">IF($AK$15+$AJ79+C$12&lt;=$Q$7,$AK$15+$AJ79+C$12,"")</f>
        <v/>
      </c>
      <c r="E80" s="179" t="str">
        <f t="shared" si="34"/>
        <v/>
      </c>
      <c r="F80" s="179" t="str">
        <f t="shared" si="34"/>
        <v/>
      </c>
      <c r="G80" s="179" t="str">
        <f t="shared" si="34"/>
        <v/>
      </c>
      <c r="H80" s="179" t="str">
        <f t="shared" si="34"/>
        <v/>
      </c>
      <c r="I80" s="179" t="str">
        <f t="shared" si="34"/>
        <v/>
      </c>
      <c r="J80" s="179" t="str">
        <f t="shared" si="34"/>
        <v/>
      </c>
      <c r="K80" s="179" t="str">
        <f t="shared" si="34"/>
        <v/>
      </c>
      <c r="L80" s="179" t="str">
        <f t="shared" si="34"/>
        <v/>
      </c>
      <c r="M80" s="179" t="str">
        <f t="shared" si="34"/>
        <v/>
      </c>
      <c r="N80" s="179" t="str">
        <f t="shared" si="34"/>
        <v/>
      </c>
      <c r="O80" s="179" t="str">
        <f t="shared" si="34"/>
        <v/>
      </c>
      <c r="P80" s="179" t="str">
        <f t="shared" si="34"/>
        <v/>
      </c>
      <c r="Q80" s="179" t="str">
        <f t="shared" si="34"/>
        <v/>
      </c>
      <c r="R80" s="179" t="str">
        <f t="shared" si="34"/>
        <v/>
      </c>
      <c r="S80" s="179" t="str">
        <f t="shared" si="34"/>
        <v/>
      </c>
      <c r="T80" s="179" t="str">
        <f t="shared" si="34"/>
        <v/>
      </c>
      <c r="U80" s="179" t="str">
        <f t="shared" si="34"/>
        <v/>
      </c>
      <c r="V80" s="179" t="str">
        <f t="shared" si="34"/>
        <v/>
      </c>
      <c r="W80" s="179" t="str">
        <f t="shared" si="34"/>
        <v/>
      </c>
      <c r="X80" s="179" t="str">
        <f t="shared" si="34"/>
        <v/>
      </c>
      <c r="Y80" s="179" t="str">
        <f t="shared" si="34"/>
        <v/>
      </c>
      <c r="Z80" s="179" t="str">
        <f t="shared" si="34"/>
        <v/>
      </c>
      <c r="AA80" s="179" t="str">
        <f t="shared" si="34"/>
        <v/>
      </c>
      <c r="AB80" s="179" t="str">
        <f t="shared" si="34"/>
        <v/>
      </c>
      <c r="AC80" s="179" t="str">
        <f t="shared" si="34"/>
        <v/>
      </c>
      <c r="AD80" s="179" t="str">
        <f t="shared" si="34"/>
        <v/>
      </c>
      <c r="AE80" s="308" t="str">
        <f>IF(AK79="","","現場閉所率")</f>
        <v/>
      </c>
      <c r="AF80" s="309"/>
      <c r="AG80" s="314" t="str">
        <f>IF(AK79="","","現場閉所率")</f>
        <v/>
      </c>
      <c r="AH80" s="315"/>
      <c r="AJ80" s="60"/>
      <c r="AK80" s="197" t="str">
        <f>IFERROR(AK79+28-1,"")</f>
        <v/>
      </c>
      <c r="AL80" s="197" t="str">
        <f>IFERROR(IF(AK80&lt;=$Q$7,"〇","×"),"")</f>
        <v>×</v>
      </c>
    </row>
    <row r="81" spans="1:38" ht="23.25" customHeight="1">
      <c r="A81" s="356"/>
      <c r="B81" s="8" t="s">
        <v>2</v>
      </c>
      <c r="C81" s="183" t="str">
        <f t="shared" ref="C81:AD81" si="35">TEXT(C80,"aaa")</f>
        <v/>
      </c>
      <c r="D81" s="183" t="str">
        <f t="shared" si="35"/>
        <v/>
      </c>
      <c r="E81" s="183" t="str">
        <f t="shared" si="35"/>
        <v/>
      </c>
      <c r="F81" s="183" t="str">
        <f t="shared" si="35"/>
        <v/>
      </c>
      <c r="G81" s="183" t="str">
        <f t="shared" si="35"/>
        <v/>
      </c>
      <c r="H81" s="183" t="str">
        <f t="shared" si="35"/>
        <v/>
      </c>
      <c r="I81" s="183" t="str">
        <f t="shared" si="35"/>
        <v/>
      </c>
      <c r="J81" s="183" t="str">
        <f t="shared" si="35"/>
        <v/>
      </c>
      <c r="K81" s="183" t="str">
        <f t="shared" si="35"/>
        <v/>
      </c>
      <c r="L81" s="183" t="str">
        <f t="shared" si="35"/>
        <v/>
      </c>
      <c r="M81" s="183" t="str">
        <f t="shared" si="35"/>
        <v/>
      </c>
      <c r="N81" s="183" t="str">
        <f t="shared" si="35"/>
        <v/>
      </c>
      <c r="O81" s="183" t="str">
        <f t="shared" si="35"/>
        <v/>
      </c>
      <c r="P81" s="183" t="str">
        <f t="shared" si="35"/>
        <v/>
      </c>
      <c r="Q81" s="183" t="str">
        <f t="shared" si="35"/>
        <v/>
      </c>
      <c r="R81" s="183" t="str">
        <f t="shared" si="35"/>
        <v/>
      </c>
      <c r="S81" s="183" t="str">
        <f t="shared" si="35"/>
        <v/>
      </c>
      <c r="T81" s="183" t="str">
        <f t="shared" si="35"/>
        <v/>
      </c>
      <c r="U81" s="183" t="str">
        <f t="shared" si="35"/>
        <v/>
      </c>
      <c r="V81" s="183" t="str">
        <f t="shared" si="35"/>
        <v/>
      </c>
      <c r="W81" s="183" t="str">
        <f t="shared" si="35"/>
        <v/>
      </c>
      <c r="X81" s="183" t="str">
        <f t="shared" si="35"/>
        <v/>
      </c>
      <c r="Y81" s="183" t="str">
        <f t="shared" si="35"/>
        <v/>
      </c>
      <c r="Z81" s="183" t="str">
        <f t="shared" si="35"/>
        <v/>
      </c>
      <c r="AA81" s="183" t="str">
        <f t="shared" si="35"/>
        <v/>
      </c>
      <c r="AB81" s="183" t="str">
        <f t="shared" si="35"/>
        <v/>
      </c>
      <c r="AC81" s="183" t="str">
        <f t="shared" si="35"/>
        <v/>
      </c>
      <c r="AD81" s="183" t="str">
        <f t="shared" si="35"/>
        <v/>
      </c>
      <c r="AE81" s="300" t="str">
        <f>IFERROR(ROUNDDOWN(AF83/AE83,4),"")</f>
        <v/>
      </c>
      <c r="AF81" s="301"/>
      <c r="AG81" s="302" t="str">
        <f>IFERROR(ROUNDDOWN(AH83/AG83,4),"")</f>
        <v/>
      </c>
      <c r="AH81" s="303"/>
      <c r="AK81" s="38"/>
      <c r="AL81" s="38"/>
    </row>
    <row r="82" spans="1:38" ht="119.25" customHeight="1">
      <c r="A82" s="356"/>
      <c r="B82" s="6" t="s">
        <v>3</v>
      </c>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200" t="str">
        <f>IF(AK79="","","対象期間")</f>
        <v/>
      </c>
      <c r="AF82" s="201" t="str">
        <f>IF(AK79="","","閉所予定日数")</f>
        <v/>
      </c>
      <c r="AG82" s="204" t="str">
        <f>IF(AK79="","","対象期間")</f>
        <v/>
      </c>
      <c r="AH82" s="212" t="str">
        <f>IF(AK79="","","閉所実施日数")</f>
        <v/>
      </c>
      <c r="AI82" s="39"/>
      <c r="AK82" s="40"/>
      <c r="AL82" s="40"/>
    </row>
    <row r="83" spans="1:38" ht="28.5" customHeight="1">
      <c r="A83" s="356"/>
      <c r="B83" s="5" t="s">
        <v>4</v>
      </c>
      <c r="C83" s="174" t="str">
        <f>IF(C79="","",IF($E$8="営繕","休",""))</f>
        <v/>
      </c>
      <c r="D83" s="174" t="str">
        <f>IF(D79="","",IF($E$8="営繕","休",""))</f>
        <v/>
      </c>
      <c r="E83" s="174"/>
      <c r="F83" s="174"/>
      <c r="G83" s="174"/>
      <c r="H83" s="174" t="str">
        <f>IF(H79="","",IF($E$8="土木","休",""))</f>
        <v/>
      </c>
      <c r="I83" s="174" t="str">
        <f>IF(I79="","",IF($E$8="土木","休",""))</f>
        <v/>
      </c>
      <c r="J83" s="174" t="str">
        <f>IF(J79="","",IF($E$8="営繕","休",""))</f>
        <v/>
      </c>
      <c r="K83" s="174" t="str">
        <f>IF(K79="","",IF($E$8="営繕","休",""))</f>
        <v/>
      </c>
      <c r="L83" s="174"/>
      <c r="M83" s="174"/>
      <c r="N83" s="174"/>
      <c r="O83" s="174" t="str">
        <f>IF(O79="","",IF($E$8="土木","休",""))</f>
        <v/>
      </c>
      <c r="P83" s="174" t="str">
        <f>IF(P79="","",IF($E$8="土木","休",""))</f>
        <v/>
      </c>
      <c r="Q83" s="174" t="str">
        <f>IF(Q79="","",IF($E$8="営繕","休",""))</f>
        <v/>
      </c>
      <c r="R83" s="174" t="str">
        <f>IF(R79="","",IF($E$8="営繕","休",""))</f>
        <v/>
      </c>
      <c r="S83" s="174"/>
      <c r="T83" s="174"/>
      <c r="U83" s="174"/>
      <c r="V83" s="174" t="str">
        <f>IF(V79="","",IF($E$8="土木","休",""))</f>
        <v/>
      </c>
      <c r="W83" s="174" t="str">
        <f>IF(W79="","",IF($E$8="土木","休",""))</f>
        <v/>
      </c>
      <c r="X83" s="174" t="str">
        <f>IF(X79="","",IF($E$8="営繕","休",""))</f>
        <v/>
      </c>
      <c r="Y83" s="174" t="str">
        <f>IF(Y79="","",IF($E$8="営繕","休",""))</f>
        <v/>
      </c>
      <c r="Z83" s="174"/>
      <c r="AA83" s="174"/>
      <c r="AB83" s="174"/>
      <c r="AC83" s="174" t="str">
        <f>IF(AC79="","",IF($E$8="土木","休",""))</f>
        <v/>
      </c>
      <c r="AD83" s="174" t="str">
        <f>IF(AD79="","",IF($E$8="土木","休",""))</f>
        <v/>
      </c>
      <c r="AE83" s="202" t="str">
        <f>IF(AK80="","",28-COUNTIF(C83:AD83,"夏")-COUNTIF(C83:AD83,"正")-COUNTIF(C83:AD83,"止")-COUNTIF(C83:AD83,"準")-COUNTIF(C83:AD83,"完"))</f>
        <v/>
      </c>
      <c r="AF83" s="203" t="str">
        <f>IF(AK80="","",COUNTIF(C83:AD83,"休"))</f>
        <v/>
      </c>
      <c r="AG83" s="205" t="str">
        <f>IF(AK80="","",28-COUNTIF(C84:AD84,"夏")-COUNTIF(C84:AD84,"正")-COUNTIF(C84:AD84,"止")-COUNTIF(C84:AD84,"準")-COUNTIF(C84:AD84,"完"))</f>
        <v/>
      </c>
      <c r="AH83" s="213" t="str">
        <f>IF(AK80="","",COUNTIF(C84:AD84,"休")+COUNTIF(C84:AD84,"代"))</f>
        <v/>
      </c>
      <c r="AJ83" s="60" t="str">
        <f>IFERROR(IF(AK80&gt;$Q$7,$Q$7-AK79+1-COUNTIF(C83:AD83,"夏")-COUNTIF(C83:AD83,"正")-COUNTIF(C83:AD83,"止")-COUNTIF(C83:AD83,"準")-COUNTIF(C83:AD83,"完"),28-COUNTIF(C83:AD83,"夏")-COUNTIF(C83:AD83,"正")-COUNTIF(C83:AD83,"止")-COUNTIF(C83:AD83,"準")-COUNTIF(C83:AD83,"完")),"")</f>
        <v/>
      </c>
      <c r="AK83" s="38"/>
      <c r="AL83" s="38"/>
    </row>
    <row r="84" spans="1:38" ht="28.5" customHeight="1" thickBot="1">
      <c r="A84" s="357"/>
      <c r="B84" s="214" t="s">
        <v>5</v>
      </c>
      <c r="C84" s="215"/>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477" t="str">
        <f>IF(AK80="","",IF(AE81&gt;=0.285,"週休二日達成","未達成"))</f>
        <v/>
      </c>
      <c r="AF84" s="478"/>
      <c r="AG84" s="479" t="str">
        <f>IF(AK80="","",IF(AG81&gt;=0.285,"週休二日達成","未達成"))</f>
        <v/>
      </c>
      <c r="AH84" s="480"/>
      <c r="AK84" s="41">
        <f>IFERROR(ROUND(AF83/AE83,3),0)</f>
        <v>0</v>
      </c>
      <c r="AL84" s="42">
        <f>IFERROR(ROUND(AH83/AG83,3),0)</f>
        <v>0</v>
      </c>
    </row>
    <row r="85" spans="1:38" ht="23.25" customHeight="1">
      <c r="A85" s="355" t="str">
        <f>IF(AK85="","","第13期")</f>
        <v/>
      </c>
      <c r="B85" s="209" t="s">
        <v>0</v>
      </c>
      <c r="C85" s="210" t="str">
        <f>IF($AK$15+$AD$12+$AJ79&lt;=$Q$7,$AK$15+$AD$12+$AJ79,"")</f>
        <v/>
      </c>
      <c r="D85" s="210" t="str">
        <f t="shared" ref="D85:AD85" si="36">IF($AK$15+$AJ85+C$12&lt;=$Q$7,$AK$15+$AJ85+C$12,"")</f>
        <v/>
      </c>
      <c r="E85" s="210" t="str">
        <f t="shared" si="36"/>
        <v/>
      </c>
      <c r="F85" s="210" t="str">
        <f t="shared" si="36"/>
        <v/>
      </c>
      <c r="G85" s="210" t="str">
        <f t="shared" si="36"/>
        <v/>
      </c>
      <c r="H85" s="210" t="str">
        <f t="shared" si="36"/>
        <v/>
      </c>
      <c r="I85" s="210" t="str">
        <f t="shared" si="36"/>
        <v/>
      </c>
      <c r="J85" s="210" t="str">
        <f t="shared" si="36"/>
        <v/>
      </c>
      <c r="K85" s="210" t="str">
        <f t="shared" si="36"/>
        <v/>
      </c>
      <c r="L85" s="210" t="str">
        <f t="shared" si="36"/>
        <v/>
      </c>
      <c r="M85" s="210" t="str">
        <f t="shared" si="36"/>
        <v/>
      </c>
      <c r="N85" s="210" t="str">
        <f t="shared" si="36"/>
        <v/>
      </c>
      <c r="O85" s="210" t="str">
        <f t="shared" si="36"/>
        <v/>
      </c>
      <c r="P85" s="210" t="str">
        <f t="shared" si="36"/>
        <v/>
      </c>
      <c r="Q85" s="210" t="str">
        <f t="shared" si="36"/>
        <v/>
      </c>
      <c r="R85" s="210" t="str">
        <f t="shared" si="36"/>
        <v/>
      </c>
      <c r="S85" s="210" t="str">
        <f t="shared" si="36"/>
        <v/>
      </c>
      <c r="T85" s="210" t="str">
        <f t="shared" si="36"/>
        <v/>
      </c>
      <c r="U85" s="210" t="str">
        <f t="shared" si="36"/>
        <v/>
      </c>
      <c r="V85" s="210" t="str">
        <f t="shared" si="36"/>
        <v/>
      </c>
      <c r="W85" s="210" t="str">
        <f t="shared" si="36"/>
        <v/>
      </c>
      <c r="X85" s="210" t="str">
        <f t="shared" si="36"/>
        <v/>
      </c>
      <c r="Y85" s="210" t="str">
        <f t="shared" si="36"/>
        <v/>
      </c>
      <c r="Z85" s="210" t="str">
        <f t="shared" si="36"/>
        <v/>
      </c>
      <c r="AA85" s="210" t="str">
        <f t="shared" si="36"/>
        <v/>
      </c>
      <c r="AB85" s="210" t="str">
        <f t="shared" si="36"/>
        <v/>
      </c>
      <c r="AC85" s="210" t="str">
        <f t="shared" si="36"/>
        <v/>
      </c>
      <c r="AD85" s="210" t="str">
        <f t="shared" si="36"/>
        <v/>
      </c>
      <c r="AE85" s="304" t="str">
        <f>IF(AK85="","","土日数")</f>
        <v/>
      </c>
      <c r="AF85" s="305"/>
      <c r="AG85" s="306" t="str">
        <f>IFERROR(NETWORKDAYS.INTL(AK85,IF(AL86="〇",AK86,$Q$7),"1111100"),"")</f>
        <v/>
      </c>
      <c r="AH85" s="307"/>
      <c r="AJ85" s="60">
        <f>28*12</f>
        <v>336</v>
      </c>
      <c r="AK85" s="353" t="str">
        <f>IF($AK$15+AJ85&lt;=$AK$6,$AK$15+AJ85,"")</f>
        <v/>
      </c>
      <c r="AL85" s="353"/>
    </row>
    <row r="86" spans="1:38" ht="23.25" customHeight="1">
      <c r="A86" s="356"/>
      <c r="B86" s="54" t="s">
        <v>1</v>
      </c>
      <c r="C86" s="179" t="str">
        <f>IF($AK$15+$AD$12+$AJ79&lt;=$Q$7,$AK$15+$AD$12+$AJ79,"")</f>
        <v/>
      </c>
      <c r="D86" s="179" t="str">
        <f t="shared" ref="D86:AD86" si="37">IF($AK$15+$AJ85+C$12&lt;=$Q$7,$AK$15+$AJ85+C$12,"")</f>
        <v/>
      </c>
      <c r="E86" s="179" t="str">
        <f t="shared" si="37"/>
        <v/>
      </c>
      <c r="F86" s="179" t="str">
        <f t="shared" si="37"/>
        <v/>
      </c>
      <c r="G86" s="179" t="str">
        <f t="shared" si="37"/>
        <v/>
      </c>
      <c r="H86" s="179" t="str">
        <f t="shared" si="37"/>
        <v/>
      </c>
      <c r="I86" s="179" t="str">
        <f t="shared" si="37"/>
        <v/>
      </c>
      <c r="J86" s="179" t="str">
        <f t="shared" si="37"/>
        <v/>
      </c>
      <c r="K86" s="179" t="str">
        <f t="shared" si="37"/>
        <v/>
      </c>
      <c r="L86" s="179" t="str">
        <f t="shared" si="37"/>
        <v/>
      </c>
      <c r="M86" s="179" t="str">
        <f t="shared" si="37"/>
        <v/>
      </c>
      <c r="N86" s="179" t="str">
        <f t="shared" si="37"/>
        <v/>
      </c>
      <c r="O86" s="179" t="str">
        <f t="shared" si="37"/>
        <v/>
      </c>
      <c r="P86" s="179" t="str">
        <f t="shared" si="37"/>
        <v/>
      </c>
      <c r="Q86" s="179" t="str">
        <f t="shared" si="37"/>
        <v/>
      </c>
      <c r="R86" s="179" t="str">
        <f t="shared" si="37"/>
        <v/>
      </c>
      <c r="S86" s="179" t="str">
        <f t="shared" si="37"/>
        <v/>
      </c>
      <c r="T86" s="179" t="str">
        <f t="shared" si="37"/>
        <v/>
      </c>
      <c r="U86" s="179" t="str">
        <f t="shared" si="37"/>
        <v/>
      </c>
      <c r="V86" s="179" t="str">
        <f t="shared" si="37"/>
        <v/>
      </c>
      <c r="W86" s="179" t="str">
        <f t="shared" si="37"/>
        <v/>
      </c>
      <c r="X86" s="179" t="str">
        <f t="shared" si="37"/>
        <v/>
      </c>
      <c r="Y86" s="179" t="str">
        <f t="shared" si="37"/>
        <v/>
      </c>
      <c r="Z86" s="179" t="str">
        <f t="shared" si="37"/>
        <v/>
      </c>
      <c r="AA86" s="179" t="str">
        <f t="shared" si="37"/>
        <v/>
      </c>
      <c r="AB86" s="179" t="str">
        <f t="shared" si="37"/>
        <v/>
      </c>
      <c r="AC86" s="179" t="str">
        <f t="shared" si="37"/>
        <v/>
      </c>
      <c r="AD86" s="179" t="str">
        <f t="shared" si="37"/>
        <v/>
      </c>
      <c r="AE86" s="308" t="str">
        <f>IF(AK85="","","現場閉所率")</f>
        <v/>
      </c>
      <c r="AF86" s="309"/>
      <c r="AG86" s="314" t="str">
        <f>IF(AK85="","","現場閉所率")</f>
        <v/>
      </c>
      <c r="AH86" s="315"/>
      <c r="AJ86" s="60"/>
      <c r="AK86" s="197" t="str">
        <f>IFERROR(AK85+28-1,"")</f>
        <v/>
      </c>
      <c r="AL86" s="197" t="str">
        <f>IFERROR(IF(AK86&lt;=$Q$7,"〇","×"),"")</f>
        <v>×</v>
      </c>
    </row>
    <row r="87" spans="1:38" ht="23.25" customHeight="1">
      <c r="A87" s="356"/>
      <c r="B87" s="8" t="s">
        <v>2</v>
      </c>
      <c r="C87" s="183" t="str">
        <f t="shared" ref="C87:AD87" si="38">TEXT(C86,"aaa")</f>
        <v/>
      </c>
      <c r="D87" s="183" t="str">
        <f t="shared" si="38"/>
        <v/>
      </c>
      <c r="E87" s="183" t="str">
        <f t="shared" si="38"/>
        <v/>
      </c>
      <c r="F87" s="183" t="str">
        <f t="shared" si="38"/>
        <v/>
      </c>
      <c r="G87" s="183" t="str">
        <f t="shared" si="38"/>
        <v/>
      </c>
      <c r="H87" s="183" t="str">
        <f t="shared" si="38"/>
        <v/>
      </c>
      <c r="I87" s="183" t="str">
        <f t="shared" si="38"/>
        <v/>
      </c>
      <c r="J87" s="183" t="str">
        <f t="shared" si="38"/>
        <v/>
      </c>
      <c r="K87" s="183" t="str">
        <f t="shared" si="38"/>
        <v/>
      </c>
      <c r="L87" s="183" t="str">
        <f t="shared" si="38"/>
        <v/>
      </c>
      <c r="M87" s="183" t="str">
        <f t="shared" si="38"/>
        <v/>
      </c>
      <c r="N87" s="183" t="str">
        <f t="shared" si="38"/>
        <v/>
      </c>
      <c r="O87" s="183" t="str">
        <f t="shared" si="38"/>
        <v/>
      </c>
      <c r="P87" s="183" t="str">
        <f t="shared" si="38"/>
        <v/>
      </c>
      <c r="Q87" s="183" t="str">
        <f t="shared" si="38"/>
        <v/>
      </c>
      <c r="R87" s="183" t="str">
        <f t="shared" si="38"/>
        <v/>
      </c>
      <c r="S87" s="183" t="str">
        <f t="shared" si="38"/>
        <v/>
      </c>
      <c r="T87" s="183" t="str">
        <f t="shared" si="38"/>
        <v/>
      </c>
      <c r="U87" s="183" t="str">
        <f t="shared" si="38"/>
        <v/>
      </c>
      <c r="V87" s="183" t="str">
        <f t="shared" si="38"/>
        <v/>
      </c>
      <c r="W87" s="183" t="str">
        <f t="shared" si="38"/>
        <v/>
      </c>
      <c r="X87" s="183" t="str">
        <f t="shared" si="38"/>
        <v/>
      </c>
      <c r="Y87" s="183" t="str">
        <f t="shared" si="38"/>
        <v/>
      </c>
      <c r="Z87" s="183" t="str">
        <f t="shared" si="38"/>
        <v/>
      </c>
      <c r="AA87" s="183" t="str">
        <f t="shared" si="38"/>
        <v/>
      </c>
      <c r="AB87" s="183" t="str">
        <f t="shared" si="38"/>
        <v/>
      </c>
      <c r="AC87" s="183" t="str">
        <f t="shared" si="38"/>
        <v/>
      </c>
      <c r="AD87" s="183" t="str">
        <f t="shared" si="38"/>
        <v/>
      </c>
      <c r="AE87" s="300" t="str">
        <f>IFERROR(ROUNDDOWN(AF89/AE89,4),"")</f>
        <v/>
      </c>
      <c r="AF87" s="301"/>
      <c r="AG87" s="302" t="str">
        <f>IFERROR(ROUNDDOWN(AH89/AG89,4),"")</f>
        <v/>
      </c>
      <c r="AH87" s="303"/>
      <c r="AJ87" s="60"/>
      <c r="AK87" s="38"/>
      <c r="AL87" s="38"/>
    </row>
    <row r="88" spans="1:38" ht="119.25" customHeight="1">
      <c r="A88" s="356"/>
      <c r="B88" s="6" t="s">
        <v>3</v>
      </c>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200" t="str">
        <f>IF(AK85="","","対象期間")</f>
        <v/>
      </c>
      <c r="AF88" s="201" t="str">
        <f>IF(AK85="","","閉所予定日数")</f>
        <v/>
      </c>
      <c r="AG88" s="204" t="str">
        <f>IF(AK85="","","対象期間")</f>
        <v/>
      </c>
      <c r="AH88" s="212" t="str">
        <f>IF(AK85="","","閉所実施日数")</f>
        <v/>
      </c>
      <c r="AI88" s="39"/>
      <c r="AK88" s="40"/>
      <c r="AL88" s="40"/>
    </row>
    <row r="89" spans="1:38" ht="28.5" customHeight="1">
      <c r="A89" s="356"/>
      <c r="B89" s="5" t="s">
        <v>4</v>
      </c>
      <c r="C89" s="174" t="str">
        <f>IF(C85="","",IF($E$8="営繕","休",""))</f>
        <v/>
      </c>
      <c r="D89" s="174" t="str">
        <f>IF(D85="","",IF($E$8="営繕","休",""))</f>
        <v/>
      </c>
      <c r="E89" s="174"/>
      <c r="F89" s="174"/>
      <c r="G89" s="174"/>
      <c r="H89" s="174" t="str">
        <f>IF(H85="","",IF($E$8="土木","休",""))</f>
        <v/>
      </c>
      <c r="I89" s="174" t="str">
        <f>IF(I85="","",IF($E$8="土木","休",""))</f>
        <v/>
      </c>
      <c r="J89" s="174" t="str">
        <f>IF(J85="","",IF($E$8="営繕","休",""))</f>
        <v/>
      </c>
      <c r="K89" s="174" t="str">
        <f>IF(K85="","",IF($E$8="営繕","休",""))</f>
        <v/>
      </c>
      <c r="L89" s="174"/>
      <c r="M89" s="174"/>
      <c r="N89" s="174"/>
      <c r="O89" s="174" t="str">
        <f>IF(O85="","",IF($E$8="土木","休",""))</f>
        <v/>
      </c>
      <c r="P89" s="174" t="str">
        <f>IF(P85="","",IF($E$8="土木","休",""))</f>
        <v/>
      </c>
      <c r="Q89" s="174" t="str">
        <f>IF(Q85="","",IF($E$8="営繕","休",""))</f>
        <v/>
      </c>
      <c r="R89" s="174" t="str">
        <f>IF(R85="","",IF($E$8="営繕","休",""))</f>
        <v/>
      </c>
      <c r="S89" s="174"/>
      <c r="T89" s="174"/>
      <c r="U89" s="174"/>
      <c r="V89" s="174" t="str">
        <f>IF(V85="","",IF($E$8="土木","休",""))</f>
        <v/>
      </c>
      <c r="W89" s="174" t="str">
        <f>IF(W85="","",IF($E$8="土木","休",""))</f>
        <v/>
      </c>
      <c r="X89" s="174" t="str">
        <f>IF(X85="","",IF($E$8="営繕","休",""))</f>
        <v/>
      </c>
      <c r="Y89" s="174" t="str">
        <f>IF(Y85="","",IF($E$8="営繕","休",""))</f>
        <v/>
      </c>
      <c r="Z89" s="174"/>
      <c r="AA89" s="174"/>
      <c r="AB89" s="174"/>
      <c r="AC89" s="174" t="str">
        <f>IF(AC85="","",IF($E$8="土木","休",""))</f>
        <v/>
      </c>
      <c r="AD89" s="174" t="str">
        <f>IF(AD85="","",IF($E$8="土木","休",""))</f>
        <v/>
      </c>
      <c r="AE89" s="202" t="str">
        <f>IF(AK86="","",28-COUNTIF(C89:AD89,"夏")-COUNTIF(C89:AD89,"正")-COUNTIF(C89:AD89,"止")-COUNTIF(C89:AD89,"準")-COUNTIF(C89:AD89,"完"))</f>
        <v/>
      </c>
      <c r="AF89" s="203" t="str">
        <f>IF(AK86="","",COUNTIF(C89:AD89,"休"))</f>
        <v/>
      </c>
      <c r="AG89" s="205" t="str">
        <f>IF(AK86="","",28-COUNTIF(C90:AD90,"夏")-COUNTIF(C90:AD90,"正")-COUNTIF(C90:AD90,"止")-COUNTIF(C90:AD90,"準")-COUNTIF(C90:AD90,"完"))</f>
        <v/>
      </c>
      <c r="AH89" s="213" t="str">
        <f>IF(AK86="","",COUNTIF(C90:AD90,"休")+COUNTIF(C90:AD90,"代"))</f>
        <v/>
      </c>
      <c r="AJ89" s="60" t="str">
        <f>IFERROR(IF(AK86&gt;$Q$7,$Q$7-AK85+1-COUNTIF(C89:AD89,"夏")-COUNTIF(C89:AD89,"正")-COUNTIF(C89:AD89,"止")-COUNTIF(C89:AD89,"準")-COUNTIF(C89:AD89,"完"),28-COUNTIF(C89:AD89,"夏")-COUNTIF(C89:AD89,"正")-COUNTIF(C89:AD89,"止")-COUNTIF(C89:AD89,"準")-COUNTIF(C89:AD89,"完")),"")</f>
        <v/>
      </c>
      <c r="AK89" s="38"/>
      <c r="AL89" s="38"/>
    </row>
    <row r="90" spans="1:38" ht="28.5" customHeight="1" thickBot="1">
      <c r="A90" s="357"/>
      <c r="B90" s="214" t="s">
        <v>5</v>
      </c>
      <c r="C90" s="215"/>
      <c r="D90" s="215"/>
      <c r="E90" s="215"/>
      <c r="F90" s="215"/>
      <c r="G90" s="215"/>
      <c r="H90" s="215"/>
      <c r="I90" s="215"/>
      <c r="J90" s="215"/>
      <c r="K90" s="215"/>
      <c r="L90" s="215"/>
      <c r="M90" s="215"/>
      <c r="N90" s="215"/>
      <c r="O90" s="215"/>
      <c r="P90" s="215"/>
      <c r="Q90" s="215"/>
      <c r="R90" s="215"/>
      <c r="S90" s="215"/>
      <c r="T90" s="215"/>
      <c r="U90" s="215"/>
      <c r="V90" s="215"/>
      <c r="W90" s="215"/>
      <c r="X90" s="215"/>
      <c r="Y90" s="215"/>
      <c r="Z90" s="215"/>
      <c r="AA90" s="215"/>
      <c r="AB90" s="215"/>
      <c r="AC90" s="215"/>
      <c r="AD90" s="215"/>
      <c r="AE90" s="477" t="str">
        <f>IF(AK86="","",IF(AE87&gt;=0.285,"週休二日達成","未達成"))</f>
        <v/>
      </c>
      <c r="AF90" s="478"/>
      <c r="AG90" s="479" t="str">
        <f>IF(AK86="","",IF(AG87&gt;=0.285,"週休二日達成","未達成"))</f>
        <v/>
      </c>
      <c r="AH90" s="480"/>
      <c r="AK90" s="41">
        <f>IFERROR(ROUND(AF89/AE89,3),0)</f>
        <v>0</v>
      </c>
      <c r="AL90" s="42">
        <f>IFERROR(ROUND(AH89/AG89,3),0)</f>
        <v>0</v>
      </c>
    </row>
    <row r="91" spans="1:38" ht="23.25" customHeight="1">
      <c r="A91" s="355" t="str">
        <f>IF(AK91="","","第14期")</f>
        <v/>
      </c>
      <c r="B91" s="209" t="s">
        <v>0</v>
      </c>
      <c r="C91" s="210" t="str">
        <f>IF($AK$15+$AD$12+$AJ85&lt;=$Q$7,$AK$15+$AD$12+$AJ85,"")</f>
        <v/>
      </c>
      <c r="D91" s="210" t="str">
        <f t="shared" ref="D91:AD91" si="39">IF($AK$15+$AJ91+C$12&lt;=$Q$7,$AK$15+$AJ91+C$12,"")</f>
        <v/>
      </c>
      <c r="E91" s="210" t="str">
        <f t="shared" si="39"/>
        <v/>
      </c>
      <c r="F91" s="210" t="str">
        <f t="shared" si="39"/>
        <v/>
      </c>
      <c r="G91" s="210" t="str">
        <f t="shared" si="39"/>
        <v/>
      </c>
      <c r="H91" s="210" t="str">
        <f t="shared" si="39"/>
        <v/>
      </c>
      <c r="I91" s="210" t="str">
        <f t="shared" si="39"/>
        <v/>
      </c>
      <c r="J91" s="210" t="str">
        <f t="shared" si="39"/>
        <v/>
      </c>
      <c r="K91" s="210" t="str">
        <f t="shared" si="39"/>
        <v/>
      </c>
      <c r="L91" s="210" t="str">
        <f t="shared" si="39"/>
        <v/>
      </c>
      <c r="M91" s="210" t="str">
        <f t="shared" si="39"/>
        <v/>
      </c>
      <c r="N91" s="210" t="str">
        <f t="shared" si="39"/>
        <v/>
      </c>
      <c r="O91" s="210" t="str">
        <f t="shared" si="39"/>
        <v/>
      </c>
      <c r="P91" s="210" t="str">
        <f t="shared" si="39"/>
        <v/>
      </c>
      <c r="Q91" s="210" t="str">
        <f t="shared" si="39"/>
        <v/>
      </c>
      <c r="R91" s="210" t="str">
        <f t="shared" si="39"/>
        <v/>
      </c>
      <c r="S91" s="210" t="str">
        <f t="shared" si="39"/>
        <v/>
      </c>
      <c r="T91" s="210" t="str">
        <f t="shared" si="39"/>
        <v/>
      </c>
      <c r="U91" s="210" t="str">
        <f t="shared" si="39"/>
        <v/>
      </c>
      <c r="V91" s="210" t="str">
        <f t="shared" si="39"/>
        <v/>
      </c>
      <c r="W91" s="210" t="str">
        <f t="shared" si="39"/>
        <v/>
      </c>
      <c r="X91" s="210" t="str">
        <f t="shared" si="39"/>
        <v/>
      </c>
      <c r="Y91" s="210" t="str">
        <f t="shared" si="39"/>
        <v/>
      </c>
      <c r="Z91" s="210" t="str">
        <f t="shared" si="39"/>
        <v/>
      </c>
      <c r="AA91" s="210" t="str">
        <f t="shared" si="39"/>
        <v/>
      </c>
      <c r="AB91" s="210" t="str">
        <f t="shared" si="39"/>
        <v/>
      </c>
      <c r="AC91" s="210" t="str">
        <f t="shared" si="39"/>
        <v/>
      </c>
      <c r="AD91" s="210" t="str">
        <f t="shared" si="39"/>
        <v/>
      </c>
      <c r="AE91" s="304" t="str">
        <f>IF(AK91="","","土日数")</f>
        <v/>
      </c>
      <c r="AF91" s="305"/>
      <c r="AG91" s="306" t="str">
        <f>IFERROR(NETWORKDAYS.INTL(AK91,IF(AL92="〇",AK92,$Q$7),"1111100"),"")</f>
        <v/>
      </c>
      <c r="AH91" s="307"/>
      <c r="AJ91" s="60">
        <f>28*13</f>
        <v>364</v>
      </c>
      <c r="AK91" s="353" t="str">
        <f>IF($AK$15+AJ91&lt;=$AK$6,$AK$15+AJ91,"")</f>
        <v/>
      </c>
      <c r="AL91" s="353"/>
    </row>
    <row r="92" spans="1:38" ht="23.25" customHeight="1">
      <c r="A92" s="356"/>
      <c r="B92" s="54" t="s">
        <v>1</v>
      </c>
      <c r="C92" s="179" t="str">
        <f>IF($AK$15+$AD$12+$AJ85&lt;=$Q$7,$AK$15+$AD$12+$AJ85,"")</f>
        <v/>
      </c>
      <c r="D92" s="179" t="str">
        <f t="shared" ref="D92:AD92" si="40">IF($AK$15+$AJ91+C$12&lt;=$Q$7,$AK$15+$AJ91+C$12,"")</f>
        <v/>
      </c>
      <c r="E92" s="179" t="str">
        <f t="shared" si="40"/>
        <v/>
      </c>
      <c r="F92" s="179" t="str">
        <f t="shared" si="40"/>
        <v/>
      </c>
      <c r="G92" s="179" t="str">
        <f t="shared" si="40"/>
        <v/>
      </c>
      <c r="H92" s="179" t="str">
        <f t="shared" si="40"/>
        <v/>
      </c>
      <c r="I92" s="179" t="str">
        <f t="shared" si="40"/>
        <v/>
      </c>
      <c r="J92" s="179" t="str">
        <f t="shared" si="40"/>
        <v/>
      </c>
      <c r="K92" s="179" t="str">
        <f t="shared" si="40"/>
        <v/>
      </c>
      <c r="L92" s="179" t="str">
        <f t="shared" si="40"/>
        <v/>
      </c>
      <c r="M92" s="179" t="str">
        <f t="shared" si="40"/>
        <v/>
      </c>
      <c r="N92" s="179" t="str">
        <f t="shared" si="40"/>
        <v/>
      </c>
      <c r="O92" s="179" t="str">
        <f t="shared" si="40"/>
        <v/>
      </c>
      <c r="P92" s="179" t="str">
        <f t="shared" si="40"/>
        <v/>
      </c>
      <c r="Q92" s="179" t="str">
        <f t="shared" si="40"/>
        <v/>
      </c>
      <c r="R92" s="179" t="str">
        <f t="shared" si="40"/>
        <v/>
      </c>
      <c r="S92" s="179" t="str">
        <f t="shared" si="40"/>
        <v/>
      </c>
      <c r="T92" s="179" t="str">
        <f t="shared" si="40"/>
        <v/>
      </c>
      <c r="U92" s="179" t="str">
        <f t="shared" si="40"/>
        <v/>
      </c>
      <c r="V92" s="179" t="str">
        <f t="shared" si="40"/>
        <v/>
      </c>
      <c r="W92" s="179" t="str">
        <f t="shared" si="40"/>
        <v/>
      </c>
      <c r="X92" s="179" t="str">
        <f t="shared" si="40"/>
        <v/>
      </c>
      <c r="Y92" s="179" t="str">
        <f t="shared" si="40"/>
        <v/>
      </c>
      <c r="Z92" s="179" t="str">
        <f t="shared" si="40"/>
        <v/>
      </c>
      <c r="AA92" s="179" t="str">
        <f t="shared" si="40"/>
        <v/>
      </c>
      <c r="AB92" s="179" t="str">
        <f t="shared" si="40"/>
        <v/>
      </c>
      <c r="AC92" s="179" t="str">
        <f t="shared" si="40"/>
        <v/>
      </c>
      <c r="AD92" s="179" t="str">
        <f t="shared" si="40"/>
        <v/>
      </c>
      <c r="AE92" s="308" t="str">
        <f>IF(AK91="","","現場閉所率")</f>
        <v/>
      </c>
      <c r="AF92" s="309"/>
      <c r="AG92" s="314" t="str">
        <f>IF(AK91="","","現場閉所率")</f>
        <v/>
      </c>
      <c r="AH92" s="315"/>
      <c r="AJ92" s="39"/>
      <c r="AK92" s="197" t="str">
        <f>IFERROR(AK91+28-1,"")</f>
        <v/>
      </c>
      <c r="AL92" s="197" t="str">
        <f>IFERROR(IF(AK92&lt;=$Q$7,"〇","×"),"")</f>
        <v>×</v>
      </c>
    </row>
    <row r="93" spans="1:38" ht="23.25" customHeight="1">
      <c r="A93" s="356"/>
      <c r="B93" s="8" t="s">
        <v>2</v>
      </c>
      <c r="C93" s="183" t="str">
        <f t="shared" ref="C93:AD93" si="41">TEXT(C92,"aaa")</f>
        <v/>
      </c>
      <c r="D93" s="183" t="str">
        <f t="shared" si="41"/>
        <v/>
      </c>
      <c r="E93" s="183" t="str">
        <f t="shared" si="41"/>
        <v/>
      </c>
      <c r="F93" s="183" t="str">
        <f t="shared" si="41"/>
        <v/>
      </c>
      <c r="G93" s="183" t="str">
        <f t="shared" si="41"/>
        <v/>
      </c>
      <c r="H93" s="183" t="str">
        <f t="shared" si="41"/>
        <v/>
      </c>
      <c r="I93" s="183" t="str">
        <f t="shared" si="41"/>
        <v/>
      </c>
      <c r="J93" s="183" t="str">
        <f t="shared" si="41"/>
        <v/>
      </c>
      <c r="K93" s="183" t="str">
        <f t="shared" si="41"/>
        <v/>
      </c>
      <c r="L93" s="183" t="str">
        <f t="shared" si="41"/>
        <v/>
      </c>
      <c r="M93" s="183" t="str">
        <f t="shared" si="41"/>
        <v/>
      </c>
      <c r="N93" s="183" t="str">
        <f t="shared" si="41"/>
        <v/>
      </c>
      <c r="O93" s="183" t="str">
        <f t="shared" si="41"/>
        <v/>
      </c>
      <c r="P93" s="183" t="str">
        <f t="shared" si="41"/>
        <v/>
      </c>
      <c r="Q93" s="183" t="str">
        <f t="shared" si="41"/>
        <v/>
      </c>
      <c r="R93" s="183" t="str">
        <f t="shared" si="41"/>
        <v/>
      </c>
      <c r="S93" s="183" t="str">
        <f t="shared" si="41"/>
        <v/>
      </c>
      <c r="T93" s="183" t="str">
        <f t="shared" si="41"/>
        <v/>
      </c>
      <c r="U93" s="183" t="str">
        <f t="shared" si="41"/>
        <v/>
      </c>
      <c r="V93" s="183" t="str">
        <f t="shared" si="41"/>
        <v/>
      </c>
      <c r="W93" s="183" t="str">
        <f t="shared" si="41"/>
        <v/>
      </c>
      <c r="X93" s="183" t="str">
        <f t="shared" si="41"/>
        <v/>
      </c>
      <c r="Y93" s="183" t="str">
        <f t="shared" si="41"/>
        <v/>
      </c>
      <c r="Z93" s="183" t="str">
        <f t="shared" si="41"/>
        <v/>
      </c>
      <c r="AA93" s="183" t="str">
        <f t="shared" si="41"/>
        <v/>
      </c>
      <c r="AB93" s="183" t="str">
        <f t="shared" si="41"/>
        <v/>
      </c>
      <c r="AC93" s="183" t="str">
        <f t="shared" si="41"/>
        <v/>
      </c>
      <c r="AD93" s="183" t="str">
        <f t="shared" si="41"/>
        <v/>
      </c>
      <c r="AE93" s="300" t="str">
        <f>IFERROR(ROUNDDOWN(AF95/AE95,4),"")</f>
        <v/>
      </c>
      <c r="AF93" s="301"/>
      <c r="AG93" s="302" t="str">
        <f>IFERROR(ROUNDDOWN(AH95/AG95,4),"")</f>
        <v/>
      </c>
      <c r="AH93" s="303"/>
      <c r="AJ93" s="60"/>
      <c r="AK93" s="38"/>
      <c r="AL93" s="38"/>
    </row>
    <row r="94" spans="1:38" ht="119.25" customHeight="1">
      <c r="A94" s="356"/>
      <c r="B94" s="6" t="s">
        <v>3</v>
      </c>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200" t="str">
        <f>IF(AK91="","","対象期間")</f>
        <v/>
      </c>
      <c r="AF94" s="201" t="str">
        <f>IF(AK91="","","閉所予定日数")</f>
        <v/>
      </c>
      <c r="AG94" s="204" t="str">
        <f>IF(AK91="","","対象期間")</f>
        <v/>
      </c>
      <c r="AH94" s="212" t="str">
        <f>IF(AK91="","","閉所実施日数")</f>
        <v/>
      </c>
      <c r="AI94" s="39"/>
      <c r="AJ94" s="60"/>
      <c r="AK94" s="40"/>
      <c r="AL94" s="40"/>
    </row>
    <row r="95" spans="1:38" ht="28.5" customHeight="1">
      <c r="A95" s="356"/>
      <c r="B95" s="5" t="s">
        <v>4</v>
      </c>
      <c r="C95" s="174" t="str">
        <f>IF(C91="","",IF($E$8="営繕","休",""))</f>
        <v/>
      </c>
      <c r="D95" s="174" t="str">
        <f>IF(D91="","",IF($E$8="営繕","休",""))</f>
        <v/>
      </c>
      <c r="E95" s="174"/>
      <c r="F95" s="174"/>
      <c r="G95" s="174"/>
      <c r="H95" s="174" t="str">
        <f>IF(H91="","",IF($E$8="土木","休",""))</f>
        <v/>
      </c>
      <c r="I95" s="174" t="str">
        <f>IF(I91="","",IF($E$8="土木","休",""))</f>
        <v/>
      </c>
      <c r="J95" s="174" t="str">
        <f>IF(J91="","",IF($E$8="営繕","休",""))</f>
        <v/>
      </c>
      <c r="K95" s="174" t="str">
        <f>IF(K91="","",IF($E$8="営繕","休",""))</f>
        <v/>
      </c>
      <c r="L95" s="174"/>
      <c r="M95" s="174"/>
      <c r="N95" s="174"/>
      <c r="O95" s="174" t="str">
        <f>IF(O91="","",IF($E$8="土木","休",""))</f>
        <v/>
      </c>
      <c r="P95" s="174" t="str">
        <f>IF(P91="","",IF($E$8="土木","休",""))</f>
        <v/>
      </c>
      <c r="Q95" s="174" t="str">
        <f>IF(Q91="","",IF($E$8="営繕","休",""))</f>
        <v/>
      </c>
      <c r="R95" s="174" t="str">
        <f>IF(R91="","",IF($E$8="営繕","休",""))</f>
        <v/>
      </c>
      <c r="S95" s="174"/>
      <c r="T95" s="174"/>
      <c r="U95" s="174"/>
      <c r="V95" s="174" t="str">
        <f>IF(V91="","",IF($E$8="土木","休",""))</f>
        <v/>
      </c>
      <c r="W95" s="174" t="str">
        <f>IF(W91="","",IF($E$8="土木","休",""))</f>
        <v/>
      </c>
      <c r="X95" s="174" t="str">
        <f>IF(X91="","",IF($E$8="営繕","休",""))</f>
        <v/>
      </c>
      <c r="Y95" s="174" t="str">
        <f>IF(Y91="","",IF($E$8="営繕","休",""))</f>
        <v/>
      </c>
      <c r="Z95" s="174"/>
      <c r="AA95" s="174"/>
      <c r="AB95" s="174"/>
      <c r="AC95" s="174" t="str">
        <f>IF(AC91="","",IF($E$8="土木","休",""))</f>
        <v/>
      </c>
      <c r="AD95" s="174" t="str">
        <f>IF(AD91="","",IF($E$8="土木","休",""))</f>
        <v/>
      </c>
      <c r="AE95" s="202" t="str">
        <f>IF(AK92="","",28-COUNTIF(C95:AD95,"夏")-COUNTIF(C95:AD95,"正")-COUNTIF(C95:AD95,"止")-COUNTIF(C95:AD95,"準")-COUNTIF(C95:AD95,"完"))</f>
        <v/>
      </c>
      <c r="AF95" s="203" t="str">
        <f>IF(AK92="","",COUNTIF(C95:AD95,"休"))</f>
        <v/>
      </c>
      <c r="AG95" s="205" t="str">
        <f>IF(AK92="","",28-COUNTIF(C96:AD96,"夏")-COUNTIF(C96:AD96,"正")-COUNTIF(C96:AD96,"止")-COUNTIF(C96:AD96,"準")-COUNTIF(C96:AD96,"完"))</f>
        <v/>
      </c>
      <c r="AH95" s="213" t="str">
        <f>IF(AK92="","",COUNTIF(C96:AD96,"休")+COUNTIF(C96:AD96,"代"))</f>
        <v/>
      </c>
      <c r="AJ95" s="60" t="str">
        <f>IFERROR(IF(AK92&gt;$Q$7,$Q$7-AK91+1-COUNTIF(C95:AD95,"夏")-COUNTIF(C95:AD95,"正")-COUNTIF(C95:AD95,"止")-COUNTIF(C95:AD95,"準")-COUNTIF(C95:AD95,"完"),28-COUNTIF(C95:AD95,"夏")-COUNTIF(C95:AD95,"正")-COUNTIF(C95:AD95,"止")-COUNTIF(C95:AD95,"準")-COUNTIF(C95:AD95,"完")),"")</f>
        <v/>
      </c>
      <c r="AK95" s="38"/>
      <c r="AL95" s="38"/>
    </row>
    <row r="96" spans="1:38" ht="28.5" customHeight="1" thickBot="1">
      <c r="A96" s="357"/>
      <c r="B96" s="214" t="s">
        <v>5</v>
      </c>
      <c r="C96" s="215"/>
      <c r="D96" s="215"/>
      <c r="E96" s="215"/>
      <c r="F96" s="215"/>
      <c r="G96" s="215"/>
      <c r="H96" s="215"/>
      <c r="I96" s="215"/>
      <c r="J96" s="215"/>
      <c r="K96" s="215"/>
      <c r="L96" s="215"/>
      <c r="M96" s="215"/>
      <c r="N96" s="215"/>
      <c r="O96" s="215"/>
      <c r="P96" s="215"/>
      <c r="Q96" s="215"/>
      <c r="R96" s="215"/>
      <c r="S96" s="215"/>
      <c r="T96" s="215"/>
      <c r="U96" s="215"/>
      <c r="V96" s="215"/>
      <c r="W96" s="215"/>
      <c r="X96" s="215"/>
      <c r="Y96" s="215"/>
      <c r="Z96" s="215"/>
      <c r="AA96" s="215"/>
      <c r="AB96" s="215"/>
      <c r="AC96" s="215"/>
      <c r="AD96" s="215"/>
      <c r="AE96" s="477" t="str">
        <f>IF(AK92="","",IF(AE93&gt;=0.285,"週休二日達成","未達成"))</f>
        <v/>
      </c>
      <c r="AF96" s="478"/>
      <c r="AG96" s="479" t="str">
        <f>IF(AK92="","",IF(AG93&gt;=0.285,"週休二日達成","未達成"))</f>
        <v/>
      </c>
      <c r="AH96" s="480"/>
      <c r="AK96" s="41">
        <f>IFERROR(ROUND(AF95/AE95,3),0)</f>
        <v>0</v>
      </c>
      <c r="AL96" s="42">
        <f>IFERROR(ROUND(AH95/AG95,3),0)</f>
        <v>0</v>
      </c>
    </row>
    <row r="97" spans="1:38" ht="23.25" customHeight="1">
      <c r="A97" s="355" t="str">
        <f>IF(AK97="","","第15期")</f>
        <v/>
      </c>
      <c r="B97" s="53" t="s">
        <v>0</v>
      </c>
      <c r="C97" s="208" t="str">
        <f>IF($AK$15+$AD$12+$AJ91&lt;=$Q$7,$AK$15+$AD$12+$AJ91,"")</f>
        <v/>
      </c>
      <c r="D97" s="208" t="str">
        <f t="shared" ref="D97:AD97" si="42">IF($AK$15+$AJ97+C$12&lt;=$Q$7,$AK$15+$AJ97+C$12,"")</f>
        <v/>
      </c>
      <c r="E97" s="208" t="str">
        <f t="shared" si="42"/>
        <v/>
      </c>
      <c r="F97" s="208" t="str">
        <f t="shared" si="42"/>
        <v/>
      </c>
      <c r="G97" s="208" t="str">
        <f t="shared" si="42"/>
        <v/>
      </c>
      <c r="H97" s="208" t="str">
        <f t="shared" si="42"/>
        <v/>
      </c>
      <c r="I97" s="208" t="str">
        <f t="shared" si="42"/>
        <v/>
      </c>
      <c r="J97" s="208" t="str">
        <f t="shared" si="42"/>
        <v/>
      </c>
      <c r="K97" s="208" t="str">
        <f t="shared" si="42"/>
        <v/>
      </c>
      <c r="L97" s="208" t="str">
        <f t="shared" si="42"/>
        <v/>
      </c>
      <c r="M97" s="208" t="str">
        <f t="shared" si="42"/>
        <v/>
      </c>
      <c r="N97" s="208" t="str">
        <f t="shared" si="42"/>
        <v/>
      </c>
      <c r="O97" s="208" t="str">
        <f t="shared" si="42"/>
        <v/>
      </c>
      <c r="P97" s="208" t="str">
        <f t="shared" si="42"/>
        <v/>
      </c>
      <c r="Q97" s="208" t="str">
        <f t="shared" si="42"/>
        <v/>
      </c>
      <c r="R97" s="208" t="str">
        <f t="shared" si="42"/>
        <v/>
      </c>
      <c r="S97" s="208" t="str">
        <f t="shared" si="42"/>
        <v/>
      </c>
      <c r="T97" s="208" t="str">
        <f t="shared" si="42"/>
        <v/>
      </c>
      <c r="U97" s="208" t="str">
        <f t="shared" si="42"/>
        <v/>
      </c>
      <c r="V97" s="208" t="str">
        <f t="shared" si="42"/>
        <v/>
      </c>
      <c r="W97" s="208" t="str">
        <f t="shared" si="42"/>
        <v/>
      </c>
      <c r="X97" s="208" t="str">
        <f t="shared" si="42"/>
        <v/>
      </c>
      <c r="Y97" s="208" t="str">
        <f t="shared" si="42"/>
        <v/>
      </c>
      <c r="Z97" s="208" t="str">
        <f t="shared" si="42"/>
        <v/>
      </c>
      <c r="AA97" s="208" t="str">
        <f t="shared" si="42"/>
        <v/>
      </c>
      <c r="AB97" s="208" t="str">
        <f t="shared" si="42"/>
        <v/>
      </c>
      <c r="AC97" s="208" t="str">
        <f t="shared" si="42"/>
        <v/>
      </c>
      <c r="AD97" s="208" t="str">
        <f t="shared" si="42"/>
        <v/>
      </c>
      <c r="AE97" s="304" t="str">
        <f>IF(AK97="","","土日数")</f>
        <v/>
      </c>
      <c r="AF97" s="305"/>
      <c r="AG97" s="306" t="str">
        <f>IFERROR(NETWORKDAYS.INTL(AK97,IF(AL98="〇",AK98,$Q$7),"1111100"),"")</f>
        <v/>
      </c>
      <c r="AH97" s="307"/>
      <c r="AJ97" s="60">
        <f>28*14</f>
        <v>392</v>
      </c>
      <c r="AK97" s="353" t="str">
        <f>IF($AK$15+AJ97&lt;=$AK$6,$AK$15+AJ97,"")</f>
        <v/>
      </c>
      <c r="AL97" s="353"/>
    </row>
    <row r="98" spans="1:38" ht="23.25" customHeight="1">
      <c r="A98" s="356"/>
      <c r="B98" s="54" t="s">
        <v>1</v>
      </c>
      <c r="C98" s="179" t="str">
        <f>IF($AK$15+$AD$12+$AJ91&lt;=$Q$7,$AK$15+$AD$12+$AJ91,"")</f>
        <v/>
      </c>
      <c r="D98" s="179" t="str">
        <f t="shared" ref="D98:AD98" si="43">IF($AK$15+$AJ97+C$12&lt;=$Q$7,$AK$15+$AJ97+C$12,"")</f>
        <v/>
      </c>
      <c r="E98" s="179" t="str">
        <f t="shared" si="43"/>
        <v/>
      </c>
      <c r="F98" s="179" t="str">
        <f t="shared" si="43"/>
        <v/>
      </c>
      <c r="G98" s="179" t="str">
        <f t="shared" si="43"/>
        <v/>
      </c>
      <c r="H98" s="179" t="str">
        <f t="shared" si="43"/>
        <v/>
      </c>
      <c r="I98" s="179" t="str">
        <f t="shared" si="43"/>
        <v/>
      </c>
      <c r="J98" s="179" t="str">
        <f t="shared" si="43"/>
        <v/>
      </c>
      <c r="K98" s="179" t="str">
        <f t="shared" si="43"/>
        <v/>
      </c>
      <c r="L98" s="179" t="str">
        <f t="shared" si="43"/>
        <v/>
      </c>
      <c r="M98" s="179" t="str">
        <f t="shared" si="43"/>
        <v/>
      </c>
      <c r="N98" s="179" t="str">
        <f t="shared" si="43"/>
        <v/>
      </c>
      <c r="O98" s="179" t="str">
        <f t="shared" si="43"/>
        <v/>
      </c>
      <c r="P98" s="179" t="str">
        <f t="shared" si="43"/>
        <v/>
      </c>
      <c r="Q98" s="179" t="str">
        <f t="shared" si="43"/>
        <v/>
      </c>
      <c r="R98" s="179" t="str">
        <f t="shared" si="43"/>
        <v/>
      </c>
      <c r="S98" s="179" t="str">
        <f t="shared" si="43"/>
        <v/>
      </c>
      <c r="T98" s="179" t="str">
        <f t="shared" si="43"/>
        <v/>
      </c>
      <c r="U98" s="179" t="str">
        <f t="shared" si="43"/>
        <v/>
      </c>
      <c r="V98" s="179" t="str">
        <f t="shared" si="43"/>
        <v/>
      </c>
      <c r="W98" s="179" t="str">
        <f t="shared" si="43"/>
        <v/>
      </c>
      <c r="X98" s="179" t="str">
        <f t="shared" si="43"/>
        <v/>
      </c>
      <c r="Y98" s="179" t="str">
        <f t="shared" si="43"/>
        <v/>
      </c>
      <c r="Z98" s="179" t="str">
        <f t="shared" si="43"/>
        <v/>
      </c>
      <c r="AA98" s="179" t="str">
        <f t="shared" si="43"/>
        <v/>
      </c>
      <c r="AB98" s="179" t="str">
        <f t="shared" si="43"/>
        <v/>
      </c>
      <c r="AC98" s="179" t="str">
        <f t="shared" si="43"/>
        <v/>
      </c>
      <c r="AD98" s="179" t="str">
        <f t="shared" si="43"/>
        <v/>
      </c>
      <c r="AE98" s="308" t="str">
        <f>IF(AK97="","","現場閉所率")</f>
        <v/>
      </c>
      <c r="AF98" s="309"/>
      <c r="AG98" s="314" t="str">
        <f>IF(AK97="","","現場閉所率")</f>
        <v/>
      </c>
      <c r="AH98" s="315"/>
      <c r="AK98" s="197" t="str">
        <f>IFERROR(AK97+28-1,"")</f>
        <v/>
      </c>
      <c r="AL98" s="197" t="str">
        <f>IFERROR(IF(AK98&lt;=$Q$7,"〇","×"),"")</f>
        <v>×</v>
      </c>
    </row>
    <row r="99" spans="1:38" ht="23.25" customHeight="1">
      <c r="A99" s="356"/>
      <c r="B99" s="8" t="s">
        <v>2</v>
      </c>
      <c r="C99" s="183" t="str">
        <f t="shared" ref="C99:AD99" si="44">TEXT(C98,"aaa")</f>
        <v/>
      </c>
      <c r="D99" s="183" t="str">
        <f t="shared" si="44"/>
        <v/>
      </c>
      <c r="E99" s="183" t="str">
        <f t="shared" si="44"/>
        <v/>
      </c>
      <c r="F99" s="183" t="str">
        <f t="shared" si="44"/>
        <v/>
      </c>
      <c r="G99" s="183" t="str">
        <f t="shared" si="44"/>
        <v/>
      </c>
      <c r="H99" s="183" t="str">
        <f t="shared" si="44"/>
        <v/>
      </c>
      <c r="I99" s="183" t="str">
        <f t="shared" si="44"/>
        <v/>
      </c>
      <c r="J99" s="183" t="str">
        <f t="shared" si="44"/>
        <v/>
      </c>
      <c r="K99" s="183" t="str">
        <f t="shared" si="44"/>
        <v/>
      </c>
      <c r="L99" s="183" t="str">
        <f t="shared" si="44"/>
        <v/>
      </c>
      <c r="M99" s="183" t="str">
        <f t="shared" si="44"/>
        <v/>
      </c>
      <c r="N99" s="183" t="str">
        <f t="shared" si="44"/>
        <v/>
      </c>
      <c r="O99" s="183" t="str">
        <f t="shared" si="44"/>
        <v/>
      </c>
      <c r="P99" s="183" t="str">
        <f t="shared" si="44"/>
        <v/>
      </c>
      <c r="Q99" s="183" t="str">
        <f t="shared" si="44"/>
        <v/>
      </c>
      <c r="R99" s="183" t="str">
        <f t="shared" si="44"/>
        <v/>
      </c>
      <c r="S99" s="183" t="str">
        <f t="shared" si="44"/>
        <v/>
      </c>
      <c r="T99" s="183" t="str">
        <f t="shared" si="44"/>
        <v/>
      </c>
      <c r="U99" s="183" t="str">
        <f t="shared" si="44"/>
        <v/>
      </c>
      <c r="V99" s="183" t="str">
        <f t="shared" si="44"/>
        <v/>
      </c>
      <c r="W99" s="183" t="str">
        <f t="shared" si="44"/>
        <v/>
      </c>
      <c r="X99" s="183" t="str">
        <f t="shared" si="44"/>
        <v/>
      </c>
      <c r="Y99" s="183" t="str">
        <f t="shared" si="44"/>
        <v/>
      </c>
      <c r="Z99" s="183" t="str">
        <f t="shared" si="44"/>
        <v/>
      </c>
      <c r="AA99" s="183" t="str">
        <f t="shared" si="44"/>
        <v/>
      </c>
      <c r="AB99" s="183" t="str">
        <f t="shared" si="44"/>
        <v/>
      </c>
      <c r="AC99" s="183" t="str">
        <f t="shared" si="44"/>
        <v/>
      </c>
      <c r="AD99" s="183" t="str">
        <f t="shared" si="44"/>
        <v/>
      </c>
      <c r="AE99" s="300" t="str">
        <f>IFERROR(ROUNDDOWN(AF101/AE101,4),"")</f>
        <v/>
      </c>
      <c r="AF99" s="301"/>
      <c r="AG99" s="302" t="str">
        <f>IFERROR(ROUNDDOWN(AH101/AG101,4),"")</f>
        <v/>
      </c>
      <c r="AH99" s="303"/>
      <c r="AJ99" s="39"/>
      <c r="AK99" s="38"/>
      <c r="AL99" s="38"/>
    </row>
    <row r="100" spans="1:38" ht="119.25" customHeight="1">
      <c r="A100" s="356"/>
      <c r="B100" s="6" t="s">
        <v>3</v>
      </c>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200" t="str">
        <f>IF(AK97="","","対象期間")</f>
        <v/>
      </c>
      <c r="AF100" s="201" t="str">
        <f>IF(AK97="","","閉所予定日数")</f>
        <v/>
      </c>
      <c r="AG100" s="204" t="str">
        <f>IF(AK97="","","対象期間")</f>
        <v/>
      </c>
      <c r="AH100" s="212" t="str">
        <f>IF(AK97="","","閉所実施日数")</f>
        <v/>
      </c>
      <c r="AI100" s="39"/>
      <c r="AJ100" s="60"/>
      <c r="AK100" s="40"/>
      <c r="AL100" s="40"/>
    </row>
    <row r="101" spans="1:38" ht="28.5" customHeight="1">
      <c r="A101" s="356"/>
      <c r="B101" s="5" t="s">
        <v>4</v>
      </c>
      <c r="C101" s="174" t="str">
        <f>IF(C97="","",IF($E$8="営繕","休",""))</f>
        <v/>
      </c>
      <c r="D101" s="174" t="str">
        <f>IF(D97="","",IF($E$8="営繕","休",""))</f>
        <v/>
      </c>
      <c r="E101" s="174"/>
      <c r="F101" s="174"/>
      <c r="G101" s="174"/>
      <c r="H101" s="174" t="str">
        <f>IF(H97="","",IF($E$8="土木","休",""))</f>
        <v/>
      </c>
      <c r="I101" s="174" t="str">
        <f>IF(I97="","",IF($E$8="土木","休",""))</f>
        <v/>
      </c>
      <c r="J101" s="174" t="str">
        <f>IF(J97="","",IF($E$8="営繕","休",""))</f>
        <v/>
      </c>
      <c r="K101" s="174" t="str">
        <f>IF(K97="","",IF($E$8="営繕","休",""))</f>
        <v/>
      </c>
      <c r="L101" s="174"/>
      <c r="M101" s="174"/>
      <c r="N101" s="174"/>
      <c r="O101" s="174" t="str">
        <f>IF(O97="","",IF($E$8="土木","休",""))</f>
        <v/>
      </c>
      <c r="P101" s="174" t="str">
        <f>IF(P97="","",IF($E$8="土木","休",""))</f>
        <v/>
      </c>
      <c r="Q101" s="174" t="str">
        <f>IF(Q97="","",IF($E$8="営繕","休",""))</f>
        <v/>
      </c>
      <c r="R101" s="174" t="str">
        <f>IF(R97="","",IF($E$8="営繕","休",""))</f>
        <v/>
      </c>
      <c r="S101" s="174"/>
      <c r="T101" s="174"/>
      <c r="U101" s="174"/>
      <c r="V101" s="174" t="str">
        <f>IF(V97="","",IF($E$8="土木","休",""))</f>
        <v/>
      </c>
      <c r="W101" s="174" t="str">
        <f>IF(W97="","",IF($E$8="土木","休",""))</f>
        <v/>
      </c>
      <c r="X101" s="174" t="str">
        <f>IF(X97="","",IF($E$8="営繕","休",""))</f>
        <v/>
      </c>
      <c r="Y101" s="174" t="str">
        <f>IF(Y97="","",IF($E$8="営繕","休",""))</f>
        <v/>
      </c>
      <c r="Z101" s="174"/>
      <c r="AA101" s="174"/>
      <c r="AB101" s="174"/>
      <c r="AC101" s="174" t="str">
        <f>IF(AC97="","",IF($E$8="土木","休",""))</f>
        <v/>
      </c>
      <c r="AD101" s="174" t="str">
        <f>IF(AD97="","",IF($E$8="土木","休",""))</f>
        <v/>
      </c>
      <c r="AE101" s="202" t="str">
        <f>IF(AK98="","",28-COUNTIF(C101:AD101,"夏")-COUNTIF(C101:AD101,"正")-COUNTIF(C101:AD101,"止")-COUNTIF(C101:AD101,"準")-COUNTIF(C101:AD101,"完"))</f>
        <v/>
      </c>
      <c r="AF101" s="203" t="str">
        <f>IF(AK98="","",COUNTIF(C101:AD101,"休"))</f>
        <v/>
      </c>
      <c r="AG101" s="205" t="str">
        <f>IF(AK98="","",28-COUNTIF(C102:AD102,"夏")-COUNTIF(C102:AD102,"正")-COUNTIF(C102:AD102,"止")-COUNTIF(C102:AD102,"準")-COUNTIF(C102:AD102,"完"))</f>
        <v/>
      </c>
      <c r="AH101" s="213" t="str">
        <f>IF(AK98="","",COUNTIF(C102:AD102,"休")+COUNTIF(C102:AD102,"代"))</f>
        <v/>
      </c>
      <c r="AJ101" s="60" t="str">
        <f>IFERROR(IF(AK98&gt;$Q$7,$Q$7-AK97+1-COUNTIF(C101:AD101,"夏")-COUNTIF(C101:AD101,"正")-COUNTIF(C101:AD101,"止")-COUNTIF(C101:AD101,"準")-COUNTIF(C101:AD101,"完"),28-COUNTIF(C101:AD101,"夏")-COUNTIF(C101:AD101,"正")-COUNTIF(C101:AD101,"止")-COUNTIF(C101:AD101,"準")-COUNTIF(C101:AD101,"完")),"")</f>
        <v/>
      </c>
      <c r="AK101" s="38"/>
      <c r="AL101" s="38"/>
    </row>
    <row r="102" spans="1:38" ht="28.5" customHeight="1" thickBot="1">
      <c r="A102" s="357"/>
      <c r="B102" s="50" t="s">
        <v>5</v>
      </c>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477" t="str">
        <f>IF(AK98="","",IF(AE99&gt;=0.285,"週休二日達成","未達成"))</f>
        <v/>
      </c>
      <c r="AF102" s="478"/>
      <c r="AG102" s="479" t="str">
        <f>IF(AK98="","",IF(AG99&gt;=0.285,"週休二日達成","未達成"))</f>
        <v/>
      </c>
      <c r="AH102" s="480"/>
      <c r="AK102" s="41">
        <f>IFERROR(ROUND(AF101/AE101,3),0)</f>
        <v>0</v>
      </c>
      <c r="AL102" s="42">
        <f>IFERROR(ROUND(AH101/AG101,3),0)</f>
        <v>0</v>
      </c>
    </row>
    <row r="103" spans="1:38" ht="23.25" customHeight="1">
      <c r="A103" s="355" t="str">
        <f>IF(AK103="","","第16期")</f>
        <v/>
      </c>
      <c r="B103" s="209" t="s">
        <v>0</v>
      </c>
      <c r="C103" s="210" t="str">
        <f>IF($AK$15+$AD$12+$AJ97&lt;=$Q$7,$AK$15+$AD$12+$AJ97,"")</f>
        <v/>
      </c>
      <c r="D103" s="210" t="str">
        <f t="shared" ref="D103:AD103" si="45">IF($AK$15+$AJ103+C$12&lt;=$Q$7,$AK$15+$AJ103+C$12,"")</f>
        <v/>
      </c>
      <c r="E103" s="210" t="str">
        <f t="shared" si="45"/>
        <v/>
      </c>
      <c r="F103" s="210" t="str">
        <f t="shared" si="45"/>
        <v/>
      </c>
      <c r="G103" s="210" t="str">
        <f t="shared" si="45"/>
        <v/>
      </c>
      <c r="H103" s="210" t="str">
        <f t="shared" si="45"/>
        <v/>
      </c>
      <c r="I103" s="210" t="str">
        <f t="shared" si="45"/>
        <v/>
      </c>
      <c r="J103" s="210" t="str">
        <f t="shared" si="45"/>
        <v/>
      </c>
      <c r="K103" s="210" t="str">
        <f t="shared" si="45"/>
        <v/>
      </c>
      <c r="L103" s="210" t="str">
        <f t="shared" si="45"/>
        <v/>
      </c>
      <c r="M103" s="210" t="str">
        <f t="shared" si="45"/>
        <v/>
      </c>
      <c r="N103" s="210" t="str">
        <f t="shared" si="45"/>
        <v/>
      </c>
      <c r="O103" s="210" t="str">
        <f t="shared" si="45"/>
        <v/>
      </c>
      <c r="P103" s="210" t="str">
        <f t="shared" si="45"/>
        <v/>
      </c>
      <c r="Q103" s="210" t="str">
        <f t="shared" si="45"/>
        <v/>
      </c>
      <c r="R103" s="210" t="str">
        <f t="shared" si="45"/>
        <v/>
      </c>
      <c r="S103" s="210" t="str">
        <f t="shared" si="45"/>
        <v/>
      </c>
      <c r="T103" s="210" t="str">
        <f t="shared" si="45"/>
        <v/>
      </c>
      <c r="U103" s="210" t="str">
        <f t="shared" si="45"/>
        <v/>
      </c>
      <c r="V103" s="210" t="str">
        <f t="shared" si="45"/>
        <v/>
      </c>
      <c r="W103" s="210" t="str">
        <f t="shared" si="45"/>
        <v/>
      </c>
      <c r="X103" s="210" t="str">
        <f t="shared" si="45"/>
        <v/>
      </c>
      <c r="Y103" s="210" t="str">
        <f t="shared" si="45"/>
        <v/>
      </c>
      <c r="Z103" s="210" t="str">
        <f t="shared" si="45"/>
        <v/>
      </c>
      <c r="AA103" s="210" t="str">
        <f t="shared" si="45"/>
        <v/>
      </c>
      <c r="AB103" s="210" t="str">
        <f t="shared" si="45"/>
        <v/>
      </c>
      <c r="AC103" s="210" t="str">
        <f t="shared" si="45"/>
        <v/>
      </c>
      <c r="AD103" s="210" t="str">
        <f t="shared" si="45"/>
        <v/>
      </c>
      <c r="AE103" s="304" t="str">
        <f>IF(AK103="","","土日数")</f>
        <v/>
      </c>
      <c r="AF103" s="305"/>
      <c r="AG103" s="306" t="str">
        <f>IFERROR(NETWORKDAYS.INTL(AK103,IF(AL104="〇",AK104,$Q$7),"1111100"),"")</f>
        <v/>
      </c>
      <c r="AH103" s="307"/>
      <c r="AJ103" s="60">
        <f>28*15</f>
        <v>420</v>
      </c>
      <c r="AK103" s="353" t="str">
        <f>IF($AK$15+AJ103&lt;=$AK$6,$AK$15+AJ103,"")</f>
        <v/>
      </c>
      <c r="AL103" s="353"/>
    </row>
    <row r="104" spans="1:38" ht="23.25" customHeight="1">
      <c r="A104" s="356"/>
      <c r="B104" s="54" t="s">
        <v>1</v>
      </c>
      <c r="C104" s="179" t="str">
        <f>IF($AK$15+$AD$12+$AJ97&lt;=$Q$7,$AK$15+$AD$12+$AJ97,"")</f>
        <v/>
      </c>
      <c r="D104" s="179" t="str">
        <f t="shared" ref="D104:AD104" si="46">IF($AK$15+$AJ103+C$12&lt;=$Q$7,$AK$15+$AJ103+C$12,"")</f>
        <v/>
      </c>
      <c r="E104" s="179" t="str">
        <f t="shared" si="46"/>
        <v/>
      </c>
      <c r="F104" s="179" t="str">
        <f t="shared" si="46"/>
        <v/>
      </c>
      <c r="G104" s="179" t="str">
        <f t="shared" si="46"/>
        <v/>
      </c>
      <c r="H104" s="179" t="str">
        <f t="shared" si="46"/>
        <v/>
      </c>
      <c r="I104" s="179" t="str">
        <f t="shared" si="46"/>
        <v/>
      </c>
      <c r="J104" s="179" t="str">
        <f t="shared" si="46"/>
        <v/>
      </c>
      <c r="K104" s="179" t="str">
        <f t="shared" si="46"/>
        <v/>
      </c>
      <c r="L104" s="179" t="str">
        <f t="shared" si="46"/>
        <v/>
      </c>
      <c r="M104" s="179" t="str">
        <f t="shared" si="46"/>
        <v/>
      </c>
      <c r="N104" s="179" t="str">
        <f t="shared" si="46"/>
        <v/>
      </c>
      <c r="O104" s="179" t="str">
        <f t="shared" si="46"/>
        <v/>
      </c>
      <c r="P104" s="179" t="str">
        <f t="shared" si="46"/>
        <v/>
      </c>
      <c r="Q104" s="179" t="str">
        <f t="shared" si="46"/>
        <v/>
      </c>
      <c r="R104" s="179" t="str">
        <f t="shared" si="46"/>
        <v/>
      </c>
      <c r="S104" s="179" t="str">
        <f t="shared" si="46"/>
        <v/>
      </c>
      <c r="T104" s="179" t="str">
        <f t="shared" si="46"/>
        <v/>
      </c>
      <c r="U104" s="179" t="str">
        <f t="shared" si="46"/>
        <v/>
      </c>
      <c r="V104" s="179" t="str">
        <f t="shared" si="46"/>
        <v/>
      </c>
      <c r="W104" s="179" t="str">
        <f t="shared" si="46"/>
        <v/>
      </c>
      <c r="X104" s="179" t="str">
        <f t="shared" si="46"/>
        <v/>
      </c>
      <c r="Y104" s="179" t="str">
        <f t="shared" si="46"/>
        <v/>
      </c>
      <c r="Z104" s="179" t="str">
        <f t="shared" si="46"/>
        <v/>
      </c>
      <c r="AA104" s="179" t="str">
        <f t="shared" si="46"/>
        <v/>
      </c>
      <c r="AB104" s="179" t="str">
        <f t="shared" si="46"/>
        <v/>
      </c>
      <c r="AC104" s="179" t="str">
        <f t="shared" si="46"/>
        <v/>
      </c>
      <c r="AD104" s="179" t="str">
        <f t="shared" si="46"/>
        <v/>
      </c>
      <c r="AE104" s="308" t="str">
        <f>IF(AK103="","","現場閉所率")</f>
        <v/>
      </c>
      <c r="AF104" s="309"/>
      <c r="AG104" s="314" t="str">
        <f>IF(AK103="","","現場閉所率")</f>
        <v/>
      </c>
      <c r="AH104" s="315"/>
      <c r="AK104" s="197" t="str">
        <f>IFERROR(AK103+28-1,"")</f>
        <v/>
      </c>
      <c r="AL104" s="197" t="str">
        <f>IFERROR(IF(AK104&lt;=$Q$7,"〇","×"),"")</f>
        <v>×</v>
      </c>
    </row>
    <row r="105" spans="1:38" ht="23.25" customHeight="1">
      <c r="A105" s="356"/>
      <c r="B105" s="8" t="s">
        <v>2</v>
      </c>
      <c r="C105" s="183" t="str">
        <f t="shared" ref="C105:AD105" si="47">TEXT(C104,"aaa")</f>
        <v/>
      </c>
      <c r="D105" s="183" t="str">
        <f t="shared" si="47"/>
        <v/>
      </c>
      <c r="E105" s="183" t="str">
        <f t="shared" si="47"/>
        <v/>
      </c>
      <c r="F105" s="183" t="str">
        <f t="shared" si="47"/>
        <v/>
      </c>
      <c r="G105" s="183" t="str">
        <f t="shared" si="47"/>
        <v/>
      </c>
      <c r="H105" s="183" t="str">
        <f t="shared" si="47"/>
        <v/>
      </c>
      <c r="I105" s="183" t="str">
        <f t="shared" si="47"/>
        <v/>
      </c>
      <c r="J105" s="183" t="str">
        <f t="shared" si="47"/>
        <v/>
      </c>
      <c r="K105" s="183" t="str">
        <f t="shared" si="47"/>
        <v/>
      </c>
      <c r="L105" s="183" t="str">
        <f t="shared" si="47"/>
        <v/>
      </c>
      <c r="M105" s="183" t="str">
        <f t="shared" si="47"/>
        <v/>
      </c>
      <c r="N105" s="183" t="str">
        <f t="shared" si="47"/>
        <v/>
      </c>
      <c r="O105" s="183" t="str">
        <f t="shared" si="47"/>
        <v/>
      </c>
      <c r="P105" s="183" t="str">
        <f t="shared" si="47"/>
        <v/>
      </c>
      <c r="Q105" s="183" t="str">
        <f t="shared" si="47"/>
        <v/>
      </c>
      <c r="R105" s="183" t="str">
        <f t="shared" si="47"/>
        <v/>
      </c>
      <c r="S105" s="183" t="str">
        <f t="shared" si="47"/>
        <v/>
      </c>
      <c r="T105" s="183" t="str">
        <f t="shared" si="47"/>
        <v/>
      </c>
      <c r="U105" s="183" t="str">
        <f t="shared" si="47"/>
        <v/>
      </c>
      <c r="V105" s="183" t="str">
        <f t="shared" si="47"/>
        <v/>
      </c>
      <c r="W105" s="183" t="str">
        <f t="shared" si="47"/>
        <v/>
      </c>
      <c r="X105" s="183" t="str">
        <f t="shared" si="47"/>
        <v/>
      </c>
      <c r="Y105" s="183" t="str">
        <f t="shared" si="47"/>
        <v/>
      </c>
      <c r="Z105" s="183" t="str">
        <f t="shared" si="47"/>
        <v/>
      </c>
      <c r="AA105" s="183" t="str">
        <f t="shared" si="47"/>
        <v/>
      </c>
      <c r="AB105" s="183" t="str">
        <f t="shared" si="47"/>
        <v/>
      </c>
      <c r="AC105" s="183" t="str">
        <f t="shared" si="47"/>
        <v/>
      </c>
      <c r="AD105" s="183" t="str">
        <f t="shared" si="47"/>
        <v/>
      </c>
      <c r="AE105" s="300" t="str">
        <f>IFERROR(ROUNDDOWN(AF107/AE107,4),"")</f>
        <v/>
      </c>
      <c r="AF105" s="301"/>
      <c r="AG105" s="302" t="str">
        <f>IFERROR(ROUNDDOWN(AH107/AG107,4),"")</f>
        <v/>
      </c>
      <c r="AH105" s="303"/>
      <c r="AK105" s="38"/>
      <c r="AL105" s="38"/>
    </row>
    <row r="106" spans="1:38" ht="119.25" customHeight="1">
      <c r="A106" s="356"/>
      <c r="B106" s="6" t="s">
        <v>3</v>
      </c>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200" t="str">
        <f>IF(AK103="","","対象期間")</f>
        <v/>
      </c>
      <c r="AF106" s="201" t="str">
        <f>IF(AK103="","","閉所予定日数")</f>
        <v/>
      </c>
      <c r="AG106" s="204" t="str">
        <f>IF(AK103="","","対象期間")</f>
        <v/>
      </c>
      <c r="AH106" s="212" t="str">
        <f>IF(AK103="","","閉所実施日数")</f>
        <v/>
      </c>
      <c r="AI106" s="39"/>
      <c r="AJ106" s="39"/>
      <c r="AK106" s="40"/>
      <c r="AL106" s="40"/>
    </row>
    <row r="107" spans="1:38" ht="28.5" customHeight="1">
      <c r="A107" s="356"/>
      <c r="B107" s="5" t="s">
        <v>4</v>
      </c>
      <c r="C107" s="174" t="str">
        <f>IF(C103="","",IF($E$8="営繕","休",""))</f>
        <v/>
      </c>
      <c r="D107" s="174" t="str">
        <f>IF(D103="","",IF($E$8="営繕","休",""))</f>
        <v/>
      </c>
      <c r="E107" s="174"/>
      <c r="F107" s="174"/>
      <c r="G107" s="174"/>
      <c r="H107" s="174" t="str">
        <f>IF(H103="","",IF($E$8="土木","休",""))</f>
        <v/>
      </c>
      <c r="I107" s="174" t="str">
        <f>IF(I103="","",IF($E$8="土木","休",""))</f>
        <v/>
      </c>
      <c r="J107" s="174" t="str">
        <f>IF(J103="","",IF($E$8="営繕","休",""))</f>
        <v/>
      </c>
      <c r="K107" s="174" t="str">
        <f>IF(K103="","",IF($E$8="営繕","休",""))</f>
        <v/>
      </c>
      <c r="L107" s="174"/>
      <c r="M107" s="174"/>
      <c r="N107" s="174"/>
      <c r="O107" s="174" t="str">
        <f>IF(O103="","",IF($E$8="土木","休",""))</f>
        <v/>
      </c>
      <c r="P107" s="174" t="str">
        <f>IF(P103="","",IF($E$8="土木","休",""))</f>
        <v/>
      </c>
      <c r="Q107" s="174" t="str">
        <f>IF(Q103="","",IF($E$8="営繕","休",""))</f>
        <v/>
      </c>
      <c r="R107" s="174" t="str">
        <f>IF(R103="","",IF($E$8="営繕","休",""))</f>
        <v/>
      </c>
      <c r="S107" s="174"/>
      <c r="T107" s="174"/>
      <c r="U107" s="174"/>
      <c r="V107" s="174" t="str">
        <f>IF(V103="","",IF($E$8="土木","休",""))</f>
        <v/>
      </c>
      <c r="W107" s="174" t="str">
        <f>IF(W103="","",IF($E$8="土木","休",""))</f>
        <v/>
      </c>
      <c r="X107" s="174" t="str">
        <f>IF(X103="","",IF($E$8="営繕","休",""))</f>
        <v/>
      </c>
      <c r="Y107" s="174" t="str">
        <f>IF(Y103="","",IF($E$8="営繕","休",""))</f>
        <v/>
      </c>
      <c r="Z107" s="174"/>
      <c r="AA107" s="174"/>
      <c r="AB107" s="174"/>
      <c r="AC107" s="174" t="str">
        <f>IF(AC103="","",IF($E$8="土木","休",""))</f>
        <v/>
      </c>
      <c r="AD107" s="174" t="str">
        <f>IF(AD103="","",IF($E$8="土木","休",""))</f>
        <v/>
      </c>
      <c r="AE107" s="202" t="str">
        <f>IF(AK104="","",28-COUNTIF(C107:AD107,"夏")-COUNTIF(C107:AD107,"正")-COUNTIF(C107:AD107,"止")-COUNTIF(C107:AD107,"準")-COUNTIF(C107:AD107,"完"))</f>
        <v/>
      </c>
      <c r="AF107" s="203" t="str">
        <f>IF(AK104="","",COUNTIF(C107:AD107,"休"))</f>
        <v/>
      </c>
      <c r="AG107" s="205" t="str">
        <f>IF(AK104="","",28-COUNTIF(C108:AD108,"夏")-COUNTIF(C108:AD108,"正")-COUNTIF(C108:AD108,"止")-COUNTIF(C108:AD108,"準")-COUNTIF(C108:AD108,"完"))</f>
        <v/>
      </c>
      <c r="AH107" s="213" t="str">
        <f>IF(AK104="","",COUNTIF(C108:AD108,"休")+COUNTIF(C108:AD108,"代"))</f>
        <v/>
      </c>
      <c r="AJ107" s="60" t="str">
        <f>IFERROR(IF(AK104&gt;$Q$7,$Q$7-AK103+1-COUNTIF(C107:AD107,"夏")-COUNTIF(C107:AD107,"正")-COUNTIF(C107:AD107,"止")-COUNTIF(C107:AD107,"準")-COUNTIF(C107:AD107,"完"),28-COUNTIF(C107:AD107,"夏")-COUNTIF(C107:AD107,"正")-COUNTIF(C107:AD107,"止")-COUNTIF(C107:AD107,"準")-COUNTIF(C107:AD107,"完")),"")</f>
        <v/>
      </c>
      <c r="AK107" s="38"/>
      <c r="AL107" s="38"/>
    </row>
    <row r="108" spans="1:38" ht="28.5" customHeight="1" thickBot="1">
      <c r="A108" s="357"/>
      <c r="B108" s="50" t="s">
        <v>5</v>
      </c>
      <c r="C108" s="219"/>
      <c r="D108" s="219"/>
      <c r="E108" s="219"/>
      <c r="F108" s="219"/>
      <c r="G108" s="219"/>
      <c r="H108" s="219"/>
      <c r="I108" s="219"/>
      <c r="J108" s="219"/>
      <c r="K108" s="219"/>
      <c r="L108" s="219"/>
      <c r="M108" s="219"/>
      <c r="N108" s="219"/>
      <c r="O108" s="219"/>
      <c r="P108" s="219"/>
      <c r="Q108" s="219"/>
      <c r="R108" s="219"/>
      <c r="S108" s="219"/>
      <c r="T108" s="219"/>
      <c r="U108" s="219"/>
      <c r="V108" s="219"/>
      <c r="W108" s="219"/>
      <c r="X108" s="219"/>
      <c r="Y108" s="219"/>
      <c r="Z108" s="219"/>
      <c r="AA108" s="219"/>
      <c r="AB108" s="219"/>
      <c r="AC108" s="219"/>
      <c r="AD108" s="219"/>
      <c r="AE108" s="473" t="str">
        <f>IF(AK104="","",IF(AE105&gt;=0.285,"週休二日達成","未達成"))</f>
        <v/>
      </c>
      <c r="AF108" s="474"/>
      <c r="AG108" s="475" t="str">
        <f>IF(AK104="","",IF(AG105&gt;=0.285,"週休二日達成","未達成"))</f>
        <v/>
      </c>
      <c r="AH108" s="476"/>
      <c r="AJ108" s="60"/>
      <c r="AK108" s="41">
        <f>IFERROR(ROUND(AF107/AE107,3),0)</f>
        <v>0</v>
      </c>
      <c r="AL108" s="42">
        <f>IFERROR(ROUND(AH107/AG107,3),0)</f>
        <v>0</v>
      </c>
    </row>
    <row r="109" spans="1:38" ht="23.25" customHeight="1">
      <c r="A109" s="355" t="str">
        <f>IF(AK109="","","第17期")</f>
        <v/>
      </c>
      <c r="B109" s="209" t="s">
        <v>0</v>
      </c>
      <c r="C109" s="210" t="str">
        <f>IF($AK$15+$AD$12+$AJ103&lt;=$Q$7,$AK$15+$AD$12+$AJ103,"")</f>
        <v/>
      </c>
      <c r="D109" s="210" t="str">
        <f t="shared" ref="D109:AD109" si="48">IF($AK$15+$AJ109+C$12&lt;=$Q$7,$AK$15+$AJ109+C$12,"")</f>
        <v/>
      </c>
      <c r="E109" s="210" t="str">
        <f t="shared" si="48"/>
        <v/>
      </c>
      <c r="F109" s="210" t="str">
        <f t="shared" si="48"/>
        <v/>
      </c>
      <c r="G109" s="210" t="str">
        <f t="shared" si="48"/>
        <v/>
      </c>
      <c r="H109" s="210" t="str">
        <f t="shared" si="48"/>
        <v/>
      </c>
      <c r="I109" s="210" t="str">
        <f t="shared" si="48"/>
        <v/>
      </c>
      <c r="J109" s="210" t="str">
        <f t="shared" si="48"/>
        <v/>
      </c>
      <c r="K109" s="210" t="str">
        <f t="shared" si="48"/>
        <v/>
      </c>
      <c r="L109" s="210" t="str">
        <f t="shared" si="48"/>
        <v/>
      </c>
      <c r="M109" s="210" t="str">
        <f t="shared" si="48"/>
        <v/>
      </c>
      <c r="N109" s="210" t="str">
        <f t="shared" si="48"/>
        <v/>
      </c>
      <c r="O109" s="210" t="str">
        <f t="shared" si="48"/>
        <v/>
      </c>
      <c r="P109" s="210" t="str">
        <f t="shared" si="48"/>
        <v/>
      </c>
      <c r="Q109" s="210" t="str">
        <f t="shared" si="48"/>
        <v/>
      </c>
      <c r="R109" s="210" t="str">
        <f t="shared" si="48"/>
        <v/>
      </c>
      <c r="S109" s="210" t="str">
        <f t="shared" si="48"/>
        <v/>
      </c>
      <c r="T109" s="210" t="str">
        <f t="shared" si="48"/>
        <v/>
      </c>
      <c r="U109" s="210" t="str">
        <f t="shared" si="48"/>
        <v/>
      </c>
      <c r="V109" s="210" t="str">
        <f t="shared" si="48"/>
        <v/>
      </c>
      <c r="W109" s="210" t="str">
        <f t="shared" si="48"/>
        <v/>
      </c>
      <c r="X109" s="210" t="str">
        <f t="shared" si="48"/>
        <v/>
      </c>
      <c r="Y109" s="210" t="str">
        <f t="shared" si="48"/>
        <v/>
      </c>
      <c r="Z109" s="210" t="str">
        <f t="shared" si="48"/>
        <v/>
      </c>
      <c r="AA109" s="210" t="str">
        <f t="shared" si="48"/>
        <v/>
      </c>
      <c r="AB109" s="210" t="str">
        <f t="shared" si="48"/>
        <v/>
      </c>
      <c r="AC109" s="210" t="str">
        <f t="shared" si="48"/>
        <v/>
      </c>
      <c r="AD109" s="210" t="str">
        <f t="shared" si="48"/>
        <v/>
      </c>
      <c r="AE109" s="304" t="str">
        <f>IF(AK109="","","土日数")</f>
        <v/>
      </c>
      <c r="AF109" s="305"/>
      <c r="AG109" s="306" t="str">
        <f>IFERROR(NETWORKDAYS.INTL(AK109,IF(AL110="〇",AK110,$Q$7),"1111100"),"")</f>
        <v/>
      </c>
      <c r="AH109" s="307"/>
      <c r="AJ109" s="60">
        <f>28*16</f>
        <v>448</v>
      </c>
      <c r="AK109" s="353" t="str">
        <f>IF($AK$15+AJ109&lt;=$AK$6,$AK$15+AJ109,"")</f>
        <v/>
      </c>
      <c r="AL109" s="353"/>
    </row>
    <row r="110" spans="1:38" ht="23.25" customHeight="1">
      <c r="A110" s="356"/>
      <c r="B110" s="54" t="s">
        <v>1</v>
      </c>
      <c r="C110" s="179" t="str">
        <f>IF($AK$15+$AD$12+$AJ103&lt;=$Q$7,$AK$15+$AD$12+$AJ103,"")</f>
        <v/>
      </c>
      <c r="D110" s="179" t="str">
        <f t="shared" ref="D110:AD110" si="49">IF($AK$15+$AJ109+C$12&lt;=$Q$7,$AK$15+$AJ109+C$12,"")</f>
        <v/>
      </c>
      <c r="E110" s="179" t="str">
        <f t="shared" si="49"/>
        <v/>
      </c>
      <c r="F110" s="179" t="str">
        <f t="shared" si="49"/>
        <v/>
      </c>
      <c r="G110" s="179" t="str">
        <f t="shared" si="49"/>
        <v/>
      </c>
      <c r="H110" s="179" t="str">
        <f t="shared" si="49"/>
        <v/>
      </c>
      <c r="I110" s="179" t="str">
        <f t="shared" si="49"/>
        <v/>
      </c>
      <c r="J110" s="179" t="str">
        <f t="shared" si="49"/>
        <v/>
      </c>
      <c r="K110" s="179" t="str">
        <f t="shared" si="49"/>
        <v/>
      </c>
      <c r="L110" s="179" t="str">
        <f t="shared" si="49"/>
        <v/>
      </c>
      <c r="M110" s="179" t="str">
        <f t="shared" si="49"/>
        <v/>
      </c>
      <c r="N110" s="179" t="str">
        <f t="shared" si="49"/>
        <v/>
      </c>
      <c r="O110" s="179" t="str">
        <f t="shared" si="49"/>
        <v/>
      </c>
      <c r="P110" s="179" t="str">
        <f t="shared" si="49"/>
        <v/>
      </c>
      <c r="Q110" s="179" t="str">
        <f t="shared" si="49"/>
        <v/>
      </c>
      <c r="R110" s="179" t="str">
        <f t="shared" si="49"/>
        <v/>
      </c>
      <c r="S110" s="179" t="str">
        <f t="shared" si="49"/>
        <v/>
      </c>
      <c r="T110" s="179" t="str">
        <f t="shared" si="49"/>
        <v/>
      </c>
      <c r="U110" s="179" t="str">
        <f t="shared" si="49"/>
        <v/>
      </c>
      <c r="V110" s="179" t="str">
        <f t="shared" si="49"/>
        <v/>
      </c>
      <c r="W110" s="179" t="str">
        <f t="shared" si="49"/>
        <v/>
      </c>
      <c r="X110" s="179" t="str">
        <f t="shared" si="49"/>
        <v/>
      </c>
      <c r="Y110" s="179" t="str">
        <f t="shared" si="49"/>
        <v/>
      </c>
      <c r="Z110" s="179" t="str">
        <f t="shared" si="49"/>
        <v/>
      </c>
      <c r="AA110" s="179" t="str">
        <f t="shared" si="49"/>
        <v/>
      </c>
      <c r="AB110" s="179" t="str">
        <f t="shared" si="49"/>
        <v/>
      </c>
      <c r="AC110" s="179" t="str">
        <f t="shared" si="49"/>
        <v/>
      </c>
      <c r="AD110" s="179" t="str">
        <f t="shared" si="49"/>
        <v/>
      </c>
      <c r="AE110" s="308" t="str">
        <f>IF(AK109="","","現場閉所率")</f>
        <v/>
      </c>
      <c r="AF110" s="309"/>
      <c r="AG110" s="314" t="str">
        <f>IF(AK109="","","現場閉所率")</f>
        <v/>
      </c>
      <c r="AH110" s="315"/>
      <c r="AK110" s="197" t="str">
        <f>IFERROR(AK109+28-1,"")</f>
        <v/>
      </c>
      <c r="AL110" s="197" t="str">
        <f>IFERROR(IF(AK110&lt;=$Q$7,"〇","×"),"")</f>
        <v>×</v>
      </c>
    </row>
    <row r="111" spans="1:38" ht="23.25" customHeight="1">
      <c r="A111" s="356"/>
      <c r="B111" s="8" t="s">
        <v>2</v>
      </c>
      <c r="C111" s="183" t="str">
        <f t="shared" ref="C111:AD111" si="50">TEXT(C110,"aaa")</f>
        <v/>
      </c>
      <c r="D111" s="183" t="str">
        <f t="shared" si="50"/>
        <v/>
      </c>
      <c r="E111" s="183" t="str">
        <f t="shared" si="50"/>
        <v/>
      </c>
      <c r="F111" s="183" t="str">
        <f t="shared" si="50"/>
        <v/>
      </c>
      <c r="G111" s="183" t="str">
        <f t="shared" si="50"/>
        <v/>
      </c>
      <c r="H111" s="183" t="str">
        <f t="shared" si="50"/>
        <v/>
      </c>
      <c r="I111" s="183" t="str">
        <f t="shared" si="50"/>
        <v/>
      </c>
      <c r="J111" s="183" t="str">
        <f t="shared" si="50"/>
        <v/>
      </c>
      <c r="K111" s="183" t="str">
        <f t="shared" si="50"/>
        <v/>
      </c>
      <c r="L111" s="183" t="str">
        <f t="shared" si="50"/>
        <v/>
      </c>
      <c r="M111" s="183" t="str">
        <f t="shared" si="50"/>
        <v/>
      </c>
      <c r="N111" s="183" t="str">
        <f t="shared" si="50"/>
        <v/>
      </c>
      <c r="O111" s="183" t="str">
        <f t="shared" si="50"/>
        <v/>
      </c>
      <c r="P111" s="183" t="str">
        <f t="shared" si="50"/>
        <v/>
      </c>
      <c r="Q111" s="183" t="str">
        <f t="shared" si="50"/>
        <v/>
      </c>
      <c r="R111" s="183" t="str">
        <f t="shared" si="50"/>
        <v/>
      </c>
      <c r="S111" s="183" t="str">
        <f t="shared" si="50"/>
        <v/>
      </c>
      <c r="T111" s="183" t="str">
        <f t="shared" si="50"/>
        <v/>
      </c>
      <c r="U111" s="183" t="str">
        <f t="shared" si="50"/>
        <v/>
      </c>
      <c r="V111" s="183" t="str">
        <f t="shared" si="50"/>
        <v/>
      </c>
      <c r="W111" s="183" t="str">
        <f t="shared" si="50"/>
        <v/>
      </c>
      <c r="X111" s="183" t="str">
        <f t="shared" si="50"/>
        <v/>
      </c>
      <c r="Y111" s="183" t="str">
        <f t="shared" si="50"/>
        <v/>
      </c>
      <c r="Z111" s="183" t="str">
        <f t="shared" si="50"/>
        <v/>
      </c>
      <c r="AA111" s="183" t="str">
        <f t="shared" si="50"/>
        <v/>
      </c>
      <c r="AB111" s="183" t="str">
        <f t="shared" si="50"/>
        <v/>
      </c>
      <c r="AC111" s="183" t="str">
        <f t="shared" si="50"/>
        <v/>
      </c>
      <c r="AD111" s="183" t="str">
        <f t="shared" si="50"/>
        <v/>
      </c>
      <c r="AE111" s="300" t="str">
        <f>IFERROR(ROUNDDOWN(AF113/AE113,4),"")</f>
        <v/>
      </c>
      <c r="AF111" s="301"/>
      <c r="AG111" s="302" t="str">
        <f>IFERROR(ROUNDDOWN(AH113/AG113,4),"")</f>
        <v/>
      </c>
      <c r="AH111" s="303"/>
      <c r="AK111" s="353"/>
      <c r="AL111" s="353"/>
    </row>
    <row r="112" spans="1:38" ht="119.25" customHeight="1">
      <c r="A112" s="356"/>
      <c r="B112" s="6" t="s">
        <v>3</v>
      </c>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200" t="str">
        <f>IF(AK109="","","対象期間")</f>
        <v/>
      </c>
      <c r="AF112" s="201" t="str">
        <f>IF(AK109="","","閉所予定日数")</f>
        <v/>
      </c>
      <c r="AG112" s="204" t="str">
        <f>IF(AK109="","","対象期間")</f>
        <v/>
      </c>
      <c r="AH112" s="212" t="str">
        <f>IF(AK109="","","閉所実施日数")</f>
        <v/>
      </c>
      <c r="AI112" s="39"/>
      <c r="AK112" s="40"/>
      <c r="AL112" s="40"/>
    </row>
    <row r="113" spans="1:38" ht="28.5" customHeight="1">
      <c r="A113" s="356"/>
      <c r="B113" s="5" t="s">
        <v>4</v>
      </c>
      <c r="C113" s="174" t="str">
        <f>IF(C109="","",IF($E$8="営繕","休",""))</f>
        <v/>
      </c>
      <c r="D113" s="174" t="str">
        <f>IF(D109="","",IF($E$8="営繕","休",""))</f>
        <v/>
      </c>
      <c r="E113" s="174"/>
      <c r="F113" s="174"/>
      <c r="G113" s="174"/>
      <c r="H113" s="174" t="str">
        <f>IF(H109="","",IF($E$8="土木","休",""))</f>
        <v/>
      </c>
      <c r="I113" s="174" t="str">
        <f>IF(I109="","",IF($E$8="土木","休",""))</f>
        <v/>
      </c>
      <c r="J113" s="174" t="str">
        <f>IF(J109="","",IF($E$8="営繕","休",""))</f>
        <v/>
      </c>
      <c r="K113" s="174" t="str">
        <f>IF(K109="","",IF($E$8="営繕","休",""))</f>
        <v/>
      </c>
      <c r="L113" s="174"/>
      <c r="M113" s="174"/>
      <c r="N113" s="174"/>
      <c r="O113" s="174" t="str">
        <f>IF(O109="","",IF($E$8="土木","休",""))</f>
        <v/>
      </c>
      <c r="P113" s="174" t="str">
        <f>IF(P109="","",IF($E$8="土木","休",""))</f>
        <v/>
      </c>
      <c r="Q113" s="174" t="str">
        <f>IF(Q109="","",IF($E$8="営繕","休",""))</f>
        <v/>
      </c>
      <c r="R113" s="174" t="str">
        <f>IF(R109="","",IF($E$8="営繕","休",""))</f>
        <v/>
      </c>
      <c r="S113" s="174"/>
      <c r="T113" s="174"/>
      <c r="U113" s="174"/>
      <c r="V113" s="174" t="str">
        <f>IF(V109="","",IF($E$8="土木","休",""))</f>
        <v/>
      </c>
      <c r="W113" s="174" t="str">
        <f>IF(W109="","",IF($E$8="土木","休",""))</f>
        <v/>
      </c>
      <c r="X113" s="174" t="str">
        <f>IF(X109="","",IF($E$8="営繕","休",""))</f>
        <v/>
      </c>
      <c r="Y113" s="174" t="str">
        <f>IF(Y109="","",IF($E$8="営繕","休",""))</f>
        <v/>
      </c>
      <c r="Z113" s="174"/>
      <c r="AA113" s="174"/>
      <c r="AB113" s="174"/>
      <c r="AC113" s="174" t="str">
        <f>IF(AC109="","",IF($E$8="土木","休",""))</f>
        <v/>
      </c>
      <c r="AD113" s="174" t="str">
        <f>IF(AD109="","",IF($E$8="土木","休",""))</f>
        <v/>
      </c>
      <c r="AE113" s="202" t="str">
        <f>IF(AK110="","",28-COUNTIF(C113:AD113,"夏")-COUNTIF(C113:AD113,"正")-COUNTIF(C113:AD113,"止")-COUNTIF(C113:AD113,"準")-COUNTIF(C113:AD113,"完"))</f>
        <v/>
      </c>
      <c r="AF113" s="203" t="str">
        <f>IF(AK110="","",COUNTIF(C113:AD113,"休"))</f>
        <v/>
      </c>
      <c r="AG113" s="205" t="str">
        <f>IF(AK110="","",28-COUNTIF(C114:AD114,"夏")-COUNTIF(C114:AD114,"正")-COUNTIF(C114:AD114,"止")-COUNTIF(C114:AD114,"準")-COUNTIF(C114:AD114,"完"))</f>
        <v/>
      </c>
      <c r="AH113" s="213" t="str">
        <f>IF(AK110="","",COUNTIF(C114:AD114,"休")+COUNTIF(C114:AD114,"代"))</f>
        <v/>
      </c>
      <c r="AJ113" s="60" t="str">
        <f>IFERROR(IF(AK110&gt;$Q$7,$Q$7-AK109+1-COUNTIF(C113:AD113,"夏")-COUNTIF(C113:AD113,"正")-COUNTIF(C113:AD113,"止")-COUNTIF(C113:AD113,"準")-COUNTIF(C113:AD113,"完"),28-COUNTIF(C113:AD113,"夏")-COUNTIF(C113:AD113,"正")-COUNTIF(C113:AD113,"止")-COUNTIF(C113:AD113,"準")-COUNTIF(C113:AD113,"完")),"")</f>
        <v/>
      </c>
      <c r="AK113" s="38"/>
      <c r="AL113" s="38"/>
    </row>
    <row r="114" spans="1:38" ht="28.5" customHeight="1" thickBot="1">
      <c r="A114" s="357"/>
      <c r="B114" s="214" t="s">
        <v>5</v>
      </c>
      <c r="C114" s="215"/>
      <c r="D114" s="215"/>
      <c r="E114" s="215"/>
      <c r="F114" s="215"/>
      <c r="G114" s="215"/>
      <c r="H114" s="215"/>
      <c r="I114" s="215"/>
      <c r="J114" s="215"/>
      <c r="K114" s="215"/>
      <c r="L114" s="215"/>
      <c r="M114" s="215"/>
      <c r="N114" s="215"/>
      <c r="O114" s="215"/>
      <c r="P114" s="215"/>
      <c r="Q114" s="215"/>
      <c r="R114" s="215"/>
      <c r="S114" s="215"/>
      <c r="T114" s="215"/>
      <c r="U114" s="215"/>
      <c r="V114" s="215"/>
      <c r="W114" s="215"/>
      <c r="X114" s="215"/>
      <c r="Y114" s="215"/>
      <c r="Z114" s="215"/>
      <c r="AA114" s="215"/>
      <c r="AB114" s="215"/>
      <c r="AC114" s="215"/>
      <c r="AD114" s="215"/>
      <c r="AE114" s="477" t="str">
        <f>IF(AK110="","",IF(AE111&gt;=0.285,"週休二日達成","未達成"))</f>
        <v/>
      </c>
      <c r="AF114" s="478"/>
      <c r="AG114" s="479" t="str">
        <f>IF(AK110="","",IF(AG111&gt;=0.285,"週休二日達成","未達成"))</f>
        <v/>
      </c>
      <c r="AH114" s="480"/>
      <c r="AJ114" s="60"/>
      <c r="AK114" s="41">
        <f>IFERROR(ROUND(AF113/AE113,3),0)</f>
        <v>0</v>
      </c>
      <c r="AL114" s="42">
        <f>IFERROR(ROUND(AH113/AG113,3),0)</f>
        <v>0</v>
      </c>
    </row>
    <row r="115" spans="1:38" ht="23.25" customHeight="1">
      <c r="A115" s="355" t="str">
        <f>IF(AK115="","","第18期")</f>
        <v/>
      </c>
      <c r="B115" s="209" t="s">
        <v>0</v>
      </c>
      <c r="C115" s="210" t="str">
        <f>IF($AK$15+$AD$12+$AJ109&lt;=$Q$7,$AK$15+$AD$12+$AJ109,"")</f>
        <v/>
      </c>
      <c r="D115" s="210" t="str">
        <f t="shared" ref="D115:AD115" si="51">IF($AK$15+$AJ115+C$12&lt;=$Q$7,$AK$15+$AJ115+C$12,"")</f>
        <v/>
      </c>
      <c r="E115" s="210" t="str">
        <f t="shared" si="51"/>
        <v/>
      </c>
      <c r="F115" s="210" t="str">
        <f t="shared" si="51"/>
        <v/>
      </c>
      <c r="G115" s="210" t="str">
        <f t="shared" si="51"/>
        <v/>
      </c>
      <c r="H115" s="210" t="str">
        <f t="shared" si="51"/>
        <v/>
      </c>
      <c r="I115" s="210" t="str">
        <f t="shared" si="51"/>
        <v/>
      </c>
      <c r="J115" s="210" t="str">
        <f t="shared" si="51"/>
        <v/>
      </c>
      <c r="K115" s="210" t="str">
        <f t="shared" si="51"/>
        <v/>
      </c>
      <c r="L115" s="210" t="str">
        <f t="shared" si="51"/>
        <v/>
      </c>
      <c r="M115" s="210" t="str">
        <f t="shared" si="51"/>
        <v/>
      </c>
      <c r="N115" s="210" t="str">
        <f t="shared" si="51"/>
        <v/>
      </c>
      <c r="O115" s="210" t="str">
        <f t="shared" si="51"/>
        <v/>
      </c>
      <c r="P115" s="210" t="str">
        <f t="shared" si="51"/>
        <v/>
      </c>
      <c r="Q115" s="210" t="str">
        <f t="shared" si="51"/>
        <v/>
      </c>
      <c r="R115" s="210" t="str">
        <f t="shared" si="51"/>
        <v/>
      </c>
      <c r="S115" s="210" t="str">
        <f t="shared" si="51"/>
        <v/>
      </c>
      <c r="T115" s="210" t="str">
        <f t="shared" si="51"/>
        <v/>
      </c>
      <c r="U115" s="210" t="str">
        <f t="shared" si="51"/>
        <v/>
      </c>
      <c r="V115" s="210" t="str">
        <f t="shared" si="51"/>
        <v/>
      </c>
      <c r="W115" s="210" t="str">
        <f t="shared" si="51"/>
        <v/>
      </c>
      <c r="X115" s="210" t="str">
        <f t="shared" si="51"/>
        <v/>
      </c>
      <c r="Y115" s="210" t="str">
        <f t="shared" si="51"/>
        <v/>
      </c>
      <c r="Z115" s="210" t="str">
        <f t="shared" si="51"/>
        <v/>
      </c>
      <c r="AA115" s="210" t="str">
        <f t="shared" si="51"/>
        <v/>
      </c>
      <c r="AB115" s="210" t="str">
        <f t="shared" si="51"/>
        <v/>
      </c>
      <c r="AC115" s="210" t="str">
        <f t="shared" si="51"/>
        <v/>
      </c>
      <c r="AD115" s="210" t="str">
        <f t="shared" si="51"/>
        <v/>
      </c>
      <c r="AE115" s="304" t="str">
        <f>IF(AK115="","","土日数")</f>
        <v/>
      </c>
      <c r="AF115" s="305"/>
      <c r="AG115" s="306" t="str">
        <f>IFERROR(NETWORKDAYS.INTL(AK115,IF(AL116="〇",AK116,$Q$7),"1111100"),"")</f>
        <v/>
      </c>
      <c r="AH115" s="307"/>
      <c r="AJ115" s="60">
        <f>28*17</f>
        <v>476</v>
      </c>
      <c r="AK115" s="353" t="str">
        <f>IF($AK$15+AJ115&lt;=$AK$6,$AK$15+AJ115,"")</f>
        <v/>
      </c>
      <c r="AL115" s="353"/>
    </row>
    <row r="116" spans="1:38" ht="23.25" customHeight="1">
      <c r="A116" s="356"/>
      <c r="B116" s="54" t="s">
        <v>1</v>
      </c>
      <c r="C116" s="179" t="str">
        <f>IF($AK$15+$AD$12+$AJ109&lt;=$Q$7,$AK$15+$AD$12+$AJ109,"")</f>
        <v/>
      </c>
      <c r="D116" s="179" t="str">
        <f t="shared" ref="D116:AD116" si="52">IF($AK$15+$AJ115+C$12&lt;=$Q$7,$AK$15+$AJ115+C$12,"")</f>
        <v/>
      </c>
      <c r="E116" s="179" t="str">
        <f t="shared" si="52"/>
        <v/>
      </c>
      <c r="F116" s="179" t="str">
        <f t="shared" si="52"/>
        <v/>
      </c>
      <c r="G116" s="179" t="str">
        <f t="shared" si="52"/>
        <v/>
      </c>
      <c r="H116" s="179" t="str">
        <f t="shared" si="52"/>
        <v/>
      </c>
      <c r="I116" s="179" t="str">
        <f t="shared" si="52"/>
        <v/>
      </c>
      <c r="J116" s="179" t="str">
        <f t="shared" si="52"/>
        <v/>
      </c>
      <c r="K116" s="179" t="str">
        <f t="shared" si="52"/>
        <v/>
      </c>
      <c r="L116" s="179" t="str">
        <f t="shared" si="52"/>
        <v/>
      </c>
      <c r="M116" s="179" t="str">
        <f t="shared" si="52"/>
        <v/>
      </c>
      <c r="N116" s="179" t="str">
        <f t="shared" si="52"/>
        <v/>
      </c>
      <c r="O116" s="179" t="str">
        <f t="shared" si="52"/>
        <v/>
      </c>
      <c r="P116" s="179" t="str">
        <f t="shared" si="52"/>
        <v/>
      </c>
      <c r="Q116" s="179" t="str">
        <f t="shared" si="52"/>
        <v/>
      </c>
      <c r="R116" s="179" t="str">
        <f t="shared" si="52"/>
        <v/>
      </c>
      <c r="S116" s="179" t="str">
        <f t="shared" si="52"/>
        <v/>
      </c>
      <c r="T116" s="179" t="str">
        <f t="shared" si="52"/>
        <v/>
      </c>
      <c r="U116" s="179" t="str">
        <f t="shared" si="52"/>
        <v/>
      </c>
      <c r="V116" s="179" t="str">
        <f t="shared" si="52"/>
        <v/>
      </c>
      <c r="W116" s="179" t="str">
        <f t="shared" si="52"/>
        <v/>
      </c>
      <c r="X116" s="179" t="str">
        <f t="shared" si="52"/>
        <v/>
      </c>
      <c r="Y116" s="179" t="str">
        <f t="shared" si="52"/>
        <v/>
      </c>
      <c r="Z116" s="179" t="str">
        <f t="shared" si="52"/>
        <v/>
      </c>
      <c r="AA116" s="179" t="str">
        <f t="shared" si="52"/>
        <v/>
      </c>
      <c r="AB116" s="179" t="str">
        <f t="shared" si="52"/>
        <v/>
      </c>
      <c r="AC116" s="179" t="str">
        <f t="shared" si="52"/>
        <v/>
      </c>
      <c r="AD116" s="179" t="str">
        <f t="shared" si="52"/>
        <v/>
      </c>
      <c r="AE116" s="308" t="str">
        <f>IF(AK115="","","現場閉所率")</f>
        <v/>
      </c>
      <c r="AF116" s="309"/>
      <c r="AG116" s="314" t="str">
        <f>IF(AK115="","","現場閉所率")</f>
        <v/>
      </c>
      <c r="AH116" s="315"/>
      <c r="AK116" s="197" t="str">
        <f>IFERROR(AK115+28-1,"")</f>
        <v/>
      </c>
      <c r="AL116" s="197" t="str">
        <f>IFERROR(IF(AK116&lt;=$Q$7,"〇","×"),"")</f>
        <v>×</v>
      </c>
    </row>
    <row r="117" spans="1:38" ht="23.25" customHeight="1">
      <c r="A117" s="356"/>
      <c r="B117" s="8" t="s">
        <v>2</v>
      </c>
      <c r="C117" s="183" t="str">
        <f t="shared" ref="C117:AD117" si="53">TEXT(C116,"aaa")</f>
        <v/>
      </c>
      <c r="D117" s="183" t="str">
        <f t="shared" si="53"/>
        <v/>
      </c>
      <c r="E117" s="183" t="str">
        <f t="shared" si="53"/>
        <v/>
      </c>
      <c r="F117" s="183" t="str">
        <f t="shared" si="53"/>
        <v/>
      </c>
      <c r="G117" s="183" t="str">
        <f t="shared" si="53"/>
        <v/>
      </c>
      <c r="H117" s="183" t="str">
        <f t="shared" si="53"/>
        <v/>
      </c>
      <c r="I117" s="183" t="str">
        <f t="shared" si="53"/>
        <v/>
      </c>
      <c r="J117" s="183" t="str">
        <f t="shared" si="53"/>
        <v/>
      </c>
      <c r="K117" s="183" t="str">
        <f t="shared" si="53"/>
        <v/>
      </c>
      <c r="L117" s="183" t="str">
        <f t="shared" si="53"/>
        <v/>
      </c>
      <c r="M117" s="183" t="str">
        <f t="shared" si="53"/>
        <v/>
      </c>
      <c r="N117" s="183" t="str">
        <f t="shared" si="53"/>
        <v/>
      </c>
      <c r="O117" s="183" t="str">
        <f t="shared" si="53"/>
        <v/>
      </c>
      <c r="P117" s="183" t="str">
        <f t="shared" si="53"/>
        <v/>
      </c>
      <c r="Q117" s="183" t="str">
        <f t="shared" si="53"/>
        <v/>
      </c>
      <c r="R117" s="183" t="str">
        <f t="shared" si="53"/>
        <v/>
      </c>
      <c r="S117" s="183" t="str">
        <f t="shared" si="53"/>
        <v/>
      </c>
      <c r="T117" s="183" t="str">
        <f t="shared" si="53"/>
        <v/>
      </c>
      <c r="U117" s="183" t="str">
        <f t="shared" si="53"/>
        <v/>
      </c>
      <c r="V117" s="183" t="str">
        <f t="shared" si="53"/>
        <v/>
      </c>
      <c r="W117" s="183" t="str">
        <f t="shared" si="53"/>
        <v/>
      </c>
      <c r="X117" s="183" t="str">
        <f t="shared" si="53"/>
        <v/>
      </c>
      <c r="Y117" s="183" t="str">
        <f t="shared" si="53"/>
        <v/>
      </c>
      <c r="Z117" s="183" t="str">
        <f t="shared" si="53"/>
        <v/>
      </c>
      <c r="AA117" s="183" t="str">
        <f t="shared" si="53"/>
        <v/>
      </c>
      <c r="AB117" s="183" t="str">
        <f t="shared" si="53"/>
        <v/>
      </c>
      <c r="AC117" s="183" t="str">
        <f t="shared" si="53"/>
        <v/>
      </c>
      <c r="AD117" s="183" t="str">
        <f t="shared" si="53"/>
        <v/>
      </c>
      <c r="AE117" s="300" t="str">
        <f>IFERROR(ROUNDDOWN(AF119/AE119,4),"")</f>
        <v/>
      </c>
      <c r="AF117" s="301"/>
      <c r="AG117" s="302" t="str">
        <f>IFERROR(ROUNDDOWN(AH119/AG119,4),"")</f>
        <v/>
      </c>
      <c r="AH117" s="303"/>
      <c r="AK117" s="38"/>
      <c r="AL117" s="38"/>
    </row>
    <row r="118" spans="1:38" ht="119.25" customHeight="1">
      <c r="A118" s="356"/>
      <c r="B118" s="6" t="s">
        <v>3</v>
      </c>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200" t="str">
        <f>IF(AK115="","","対象期間")</f>
        <v/>
      </c>
      <c r="AF118" s="201" t="str">
        <f>IF(AK115="","","閉所予定日数")</f>
        <v/>
      </c>
      <c r="AG118" s="204" t="str">
        <f>IF(AK115="","","対象期間")</f>
        <v/>
      </c>
      <c r="AH118" s="212" t="str">
        <f>IF(AK115="","","閉所実施日数")</f>
        <v/>
      </c>
      <c r="AI118" s="39"/>
      <c r="AK118" s="40"/>
      <c r="AL118" s="40"/>
    </row>
    <row r="119" spans="1:38" ht="28.5" customHeight="1">
      <c r="A119" s="356"/>
      <c r="B119" s="5" t="s">
        <v>4</v>
      </c>
      <c r="C119" s="174" t="str">
        <f>IF(C115="","",IF($E$8="営繕","休",""))</f>
        <v/>
      </c>
      <c r="D119" s="174" t="str">
        <f>IF(D115="","",IF($E$8="営繕","休",""))</f>
        <v/>
      </c>
      <c r="E119" s="174"/>
      <c r="F119" s="174"/>
      <c r="G119" s="174"/>
      <c r="H119" s="174" t="str">
        <f>IF(H115="","",IF($E$8="土木","休",""))</f>
        <v/>
      </c>
      <c r="I119" s="174" t="str">
        <f>IF(I115="","",IF($E$8="土木","休",""))</f>
        <v/>
      </c>
      <c r="J119" s="174" t="str">
        <f>IF(J115="","",IF($E$8="営繕","休",""))</f>
        <v/>
      </c>
      <c r="K119" s="174" t="str">
        <f>IF(K115="","",IF($E$8="営繕","休",""))</f>
        <v/>
      </c>
      <c r="L119" s="174"/>
      <c r="M119" s="174"/>
      <c r="N119" s="174"/>
      <c r="O119" s="174" t="str">
        <f>IF(O115="","",IF($E$8="土木","休",""))</f>
        <v/>
      </c>
      <c r="P119" s="174" t="str">
        <f>IF(P115="","",IF($E$8="土木","休",""))</f>
        <v/>
      </c>
      <c r="Q119" s="174" t="str">
        <f>IF(Q115="","",IF($E$8="営繕","休",""))</f>
        <v/>
      </c>
      <c r="R119" s="174" t="str">
        <f>IF(R115="","",IF($E$8="営繕","休",""))</f>
        <v/>
      </c>
      <c r="S119" s="174"/>
      <c r="T119" s="174"/>
      <c r="U119" s="174"/>
      <c r="V119" s="174" t="str">
        <f>IF(V115="","",IF($E$8="土木","休",""))</f>
        <v/>
      </c>
      <c r="W119" s="174" t="str">
        <f>IF(W115="","",IF($E$8="土木","休",""))</f>
        <v/>
      </c>
      <c r="X119" s="174" t="str">
        <f>IF(X115="","",IF($E$8="営繕","休",""))</f>
        <v/>
      </c>
      <c r="Y119" s="174" t="str">
        <f>IF(Y115="","",IF($E$8="営繕","休",""))</f>
        <v/>
      </c>
      <c r="Z119" s="174"/>
      <c r="AA119" s="174"/>
      <c r="AB119" s="174"/>
      <c r="AC119" s="174" t="str">
        <f>IF(AC115="","",IF($E$8="土木","休",""))</f>
        <v/>
      </c>
      <c r="AD119" s="174" t="str">
        <f>IF(AD115="","",IF($E$8="土木","休",""))</f>
        <v/>
      </c>
      <c r="AE119" s="202" t="str">
        <f>IF(AK116="","",28-COUNTIF(C119:AD119,"夏")-COUNTIF(C119:AD119,"正")-COUNTIF(C119:AD119,"止")-COUNTIF(C119:AD119,"準")-COUNTIF(C119:AD119,"完"))</f>
        <v/>
      </c>
      <c r="AF119" s="203" t="str">
        <f>IF(AK116="","",COUNTIF(C119:AD119,"休"))</f>
        <v/>
      </c>
      <c r="AG119" s="205" t="str">
        <f>IF(AK116="","",28-COUNTIF(C120:AD120,"夏")-COUNTIF(C120:AD120,"正")-COUNTIF(C120:AD120,"止")-COUNTIF(C120:AD120,"準")-COUNTIF(C120:AD120,"完"))</f>
        <v/>
      </c>
      <c r="AH119" s="213" t="str">
        <f>IF(AK116="","",COUNTIF(C120:AD120,"休")+COUNTIF(C120:AD120,"代"))</f>
        <v/>
      </c>
      <c r="AJ119" s="60" t="str">
        <f>IFERROR(IF(AK116&gt;$Q$7,$Q$7-AK115+1-COUNTIF(C119:AD119,"夏")-COUNTIF(C119:AD119,"正")-COUNTIF(C119:AD119,"止")-COUNTIF(C119:AD119,"準")-COUNTIF(C119:AD119,"完"),28-COUNTIF(C119:AD119,"夏")-COUNTIF(C119:AD119,"正")-COUNTIF(C119:AD119,"止")-COUNTIF(C119:AD119,"準")-COUNTIF(C119:AD119,"完")),"")</f>
        <v/>
      </c>
      <c r="AK119" s="38"/>
      <c r="AL119" s="38"/>
    </row>
    <row r="120" spans="1:38" ht="28.5" customHeight="1" thickBot="1">
      <c r="A120" s="357"/>
      <c r="B120" s="214" t="s">
        <v>5</v>
      </c>
      <c r="C120" s="215"/>
      <c r="D120" s="215"/>
      <c r="E120" s="215"/>
      <c r="F120" s="215"/>
      <c r="G120" s="215"/>
      <c r="H120" s="215"/>
      <c r="I120" s="215"/>
      <c r="J120" s="215"/>
      <c r="K120" s="215"/>
      <c r="L120" s="215"/>
      <c r="M120" s="215"/>
      <c r="N120" s="215"/>
      <c r="O120" s="215"/>
      <c r="P120" s="215"/>
      <c r="Q120" s="215"/>
      <c r="R120" s="215"/>
      <c r="S120" s="215"/>
      <c r="T120" s="215"/>
      <c r="U120" s="215"/>
      <c r="V120" s="215"/>
      <c r="W120" s="215"/>
      <c r="X120" s="215"/>
      <c r="Y120" s="215"/>
      <c r="Z120" s="215"/>
      <c r="AA120" s="215"/>
      <c r="AB120" s="215"/>
      <c r="AC120" s="215"/>
      <c r="AD120" s="215"/>
      <c r="AE120" s="477" t="str">
        <f>IF(AK116="","",IF(AE117&gt;=0.285,"週休二日達成","未達成"))</f>
        <v/>
      </c>
      <c r="AF120" s="478"/>
      <c r="AG120" s="479" t="str">
        <f>IF(AK116="","",IF(AG117&gt;=0.285,"週休二日達成","未達成"))</f>
        <v/>
      </c>
      <c r="AH120" s="480"/>
      <c r="AJ120" s="39"/>
      <c r="AK120" s="41">
        <f>IFERROR(ROUND(AF119/AE119,3),0)</f>
        <v>0</v>
      </c>
      <c r="AL120" s="42">
        <f>IFERROR(ROUND(AH119/AG119,3),0)</f>
        <v>0</v>
      </c>
    </row>
    <row r="121" spans="1:38" ht="23.25" customHeight="1">
      <c r="A121" s="355" t="str">
        <f>IF(AK121="","","第19期")</f>
        <v/>
      </c>
      <c r="B121" s="209" t="s">
        <v>0</v>
      </c>
      <c r="C121" s="210" t="str">
        <f>IF($AK$15+$AD$12+$AJ115&lt;=$Q$7,$AK$15+$AD$12+$AJ115,"")</f>
        <v/>
      </c>
      <c r="D121" s="210" t="str">
        <f t="shared" ref="D121:AD121" si="54">IF($AK$15+$AJ121+C$12&lt;=$Q$7,$AK$15+$AJ121+C$12,"")</f>
        <v/>
      </c>
      <c r="E121" s="210" t="str">
        <f t="shared" si="54"/>
        <v/>
      </c>
      <c r="F121" s="210" t="str">
        <f t="shared" si="54"/>
        <v/>
      </c>
      <c r="G121" s="210" t="str">
        <f t="shared" si="54"/>
        <v/>
      </c>
      <c r="H121" s="210" t="str">
        <f t="shared" si="54"/>
        <v/>
      </c>
      <c r="I121" s="210" t="str">
        <f t="shared" si="54"/>
        <v/>
      </c>
      <c r="J121" s="210" t="str">
        <f t="shared" si="54"/>
        <v/>
      </c>
      <c r="K121" s="210" t="str">
        <f t="shared" si="54"/>
        <v/>
      </c>
      <c r="L121" s="210" t="str">
        <f t="shared" si="54"/>
        <v/>
      </c>
      <c r="M121" s="210" t="str">
        <f t="shared" si="54"/>
        <v/>
      </c>
      <c r="N121" s="210" t="str">
        <f t="shared" si="54"/>
        <v/>
      </c>
      <c r="O121" s="210" t="str">
        <f t="shared" si="54"/>
        <v/>
      </c>
      <c r="P121" s="210" t="str">
        <f t="shared" si="54"/>
        <v/>
      </c>
      <c r="Q121" s="210" t="str">
        <f t="shared" si="54"/>
        <v/>
      </c>
      <c r="R121" s="210" t="str">
        <f t="shared" si="54"/>
        <v/>
      </c>
      <c r="S121" s="210" t="str">
        <f t="shared" si="54"/>
        <v/>
      </c>
      <c r="T121" s="210" t="str">
        <f t="shared" si="54"/>
        <v/>
      </c>
      <c r="U121" s="210" t="str">
        <f t="shared" si="54"/>
        <v/>
      </c>
      <c r="V121" s="210" t="str">
        <f t="shared" si="54"/>
        <v/>
      </c>
      <c r="W121" s="210" t="str">
        <f t="shared" si="54"/>
        <v/>
      </c>
      <c r="X121" s="210" t="str">
        <f t="shared" si="54"/>
        <v/>
      </c>
      <c r="Y121" s="210" t="str">
        <f t="shared" si="54"/>
        <v/>
      </c>
      <c r="Z121" s="210" t="str">
        <f t="shared" si="54"/>
        <v/>
      </c>
      <c r="AA121" s="210" t="str">
        <f t="shared" si="54"/>
        <v/>
      </c>
      <c r="AB121" s="210" t="str">
        <f t="shared" si="54"/>
        <v/>
      </c>
      <c r="AC121" s="210" t="str">
        <f t="shared" si="54"/>
        <v/>
      </c>
      <c r="AD121" s="210" t="str">
        <f t="shared" si="54"/>
        <v/>
      </c>
      <c r="AE121" s="304" t="str">
        <f>IF(AK121="","","土日数")</f>
        <v/>
      </c>
      <c r="AF121" s="305"/>
      <c r="AG121" s="306" t="str">
        <f>IFERROR(NETWORKDAYS.INTL(AK121,IF(AL122="〇",AK122,$Q$7),"1111100"),"")</f>
        <v/>
      </c>
      <c r="AH121" s="307"/>
      <c r="AJ121" s="60">
        <f>28*18</f>
        <v>504</v>
      </c>
      <c r="AK121" s="353" t="str">
        <f>IF($AK$15+AJ121&lt;=$AK$6,$AK$15+AJ121,"")</f>
        <v/>
      </c>
      <c r="AL121" s="353"/>
    </row>
    <row r="122" spans="1:38" ht="23.25" customHeight="1">
      <c r="A122" s="356"/>
      <c r="B122" s="54" t="s">
        <v>1</v>
      </c>
      <c r="C122" s="179" t="str">
        <f>IF($AK$15+$AD$12+$AJ115&lt;=$Q$7,$AK$15+$AD$12+$AJ115,"")</f>
        <v/>
      </c>
      <c r="D122" s="179" t="str">
        <f t="shared" ref="D122:AD122" si="55">IF($AK$15+$AJ121+C$12&lt;=$Q$7,$AK$15+$AJ121+C$12,"")</f>
        <v/>
      </c>
      <c r="E122" s="179" t="str">
        <f t="shared" si="55"/>
        <v/>
      </c>
      <c r="F122" s="179" t="str">
        <f t="shared" si="55"/>
        <v/>
      </c>
      <c r="G122" s="179" t="str">
        <f t="shared" si="55"/>
        <v/>
      </c>
      <c r="H122" s="179" t="str">
        <f t="shared" si="55"/>
        <v/>
      </c>
      <c r="I122" s="179" t="str">
        <f t="shared" si="55"/>
        <v/>
      </c>
      <c r="J122" s="179" t="str">
        <f t="shared" si="55"/>
        <v/>
      </c>
      <c r="K122" s="179" t="str">
        <f t="shared" si="55"/>
        <v/>
      </c>
      <c r="L122" s="179" t="str">
        <f t="shared" si="55"/>
        <v/>
      </c>
      <c r="M122" s="179" t="str">
        <f t="shared" si="55"/>
        <v/>
      </c>
      <c r="N122" s="179" t="str">
        <f t="shared" si="55"/>
        <v/>
      </c>
      <c r="O122" s="179" t="str">
        <f t="shared" si="55"/>
        <v/>
      </c>
      <c r="P122" s="179" t="str">
        <f t="shared" si="55"/>
        <v/>
      </c>
      <c r="Q122" s="179" t="str">
        <f t="shared" si="55"/>
        <v/>
      </c>
      <c r="R122" s="179" t="str">
        <f t="shared" si="55"/>
        <v/>
      </c>
      <c r="S122" s="179" t="str">
        <f t="shared" si="55"/>
        <v/>
      </c>
      <c r="T122" s="179" t="str">
        <f t="shared" si="55"/>
        <v/>
      </c>
      <c r="U122" s="179" t="str">
        <f t="shared" si="55"/>
        <v/>
      </c>
      <c r="V122" s="179" t="str">
        <f t="shared" si="55"/>
        <v/>
      </c>
      <c r="W122" s="179" t="str">
        <f t="shared" si="55"/>
        <v/>
      </c>
      <c r="X122" s="179" t="str">
        <f t="shared" si="55"/>
        <v/>
      </c>
      <c r="Y122" s="179" t="str">
        <f t="shared" si="55"/>
        <v/>
      </c>
      <c r="Z122" s="179" t="str">
        <f t="shared" si="55"/>
        <v/>
      </c>
      <c r="AA122" s="179" t="str">
        <f t="shared" si="55"/>
        <v/>
      </c>
      <c r="AB122" s="179" t="str">
        <f t="shared" si="55"/>
        <v/>
      </c>
      <c r="AC122" s="179" t="str">
        <f t="shared" si="55"/>
        <v/>
      </c>
      <c r="AD122" s="179" t="str">
        <f t="shared" si="55"/>
        <v/>
      </c>
      <c r="AE122" s="308" t="str">
        <f>IF(AK121="","","現場閉所率")</f>
        <v/>
      </c>
      <c r="AF122" s="309"/>
      <c r="AG122" s="314" t="str">
        <f>IF(AK121="","","現場閉所率")</f>
        <v/>
      </c>
      <c r="AH122" s="315"/>
      <c r="AJ122" s="60"/>
      <c r="AK122" s="197" t="str">
        <f>IFERROR(AK121+28-1,"")</f>
        <v/>
      </c>
      <c r="AL122" s="197" t="str">
        <f>IFERROR(IF(AK122&lt;=$Q$7,"〇","×"),"")</f>
        <v>×</v>
      </c>
    </row>
    <row r="123" spans="1:38" ht="23.25" customHeight="1">
      <c r="A123" s="356"/>
      <c r="B123" s="8" t="s">
        <v>2</v>
      </c>
      <c r="C123" s="183" t="str">
        <f t="shared" ref="C123:AD123" si="56">TEXT(C122,"aaa")</f>
        <v/>
      </c>
      <c r="D123" s="183" t="str">
        <f t="shared" si="56"/>
        <v/>
      </c>
      <c r="E123" s="183" t="str">
        <f t="shared" si="56"/>
        <v/>
      </c>
      <c r="F123" s="183" t="str">
        <f t="shared" si="56"/>
        <v/>
      </c>
      <c r="G123" s="183" t="str">
        <f t="shared" si="56"/>
        <v/>
      </c>
      <c r="H123" s="183" t="str">
        <f t="shared" si="56"/>
        <v/>
      </c>
      <c r="I123" s="183" t="str">
        <f t="shared" si="56"/>
        <v/>
      </c>
      <c r="J123" s="183" t="str">
        <f t="shared" si="56"/>
        <v/>
      </c>
      <c r="K123" s="183" t="str">
        <f t="shared" si="56"/>
        <v/>
      </c>
      <c r="L123" s="183" t="str">
        <f t="shared" si="56"/>
        <v/>
      </c>
      <c r="M123" s="183" t="str">
        <f t="shared" si="56"/>
        <v/>
      </c>
      <c r="N123" s="183" t="str">
        <f t="shared" si="56"/>
        <v/>
      </c>
      <c r="O123" s="183" t="str">
        <f t="shared" si="56"/>
        <v/>
      </c>
      <c r="P123" s="183" t="str">
        <f t="shared" si="56"/>
        <v/>
      </c>
      <c r="Q123" s="183" t="str">
        <f t="shared" si="56"/>
        <v/>
      </c>
      <c r="R123" s="183" t="str">
        <f t="shared" si="56"/>
        <v/>
      </c>
      <c r="S123" s="183" t="str">
        <f t="shared" si="56"/>
        <v/>
      </c>
      <c r="T123" s="183" t="str">
        <f t="shared" si="56"/>
        <v/>
      </c>
      <c r="U123" s="183" t="str">
        <f t="shared" si="56"/>
        <v/>
      </c>
      <c r="V123" s="183" t="str">
        <f t="shared" si="56"/>
        <v/>
      </c>
      <c r="W123" s="183" t="str">
        <f t="shared" si="56"/>
        <v/>
      </c>
      <c r="X123" s="183" t="str">
        <f t="shared" si="56"/>
        <v/>
      </c>
      <c r="Y123" s="183" t="str">
        <f t="shared" si="56"/>
        <v/>
      </c>
      <c r="Z123" s="183" t="str">
        <f t="shared" si="56"/>
        <v/>
      </c>
      <c r="AA123" s="183" t="str">
        <f t="shared" si="56"/>
        <v/>
      </c>
      <c r="AB123" s="183" t="str">
        <f t="shared" si="56"/>
        <v/>
      </c>
      <c r="AC123" s="183" t="str">
        <f t="shared" si="56"/>
        <v/>
      </c>
      <c r="AD123" s="183" t="str">
        <f t="shared" si="56"/>
        <v/>
      </c>
      <c r="AE123" s="300" t="str">
        <f>IFERROR(ROUNDDOWN(AF125/AE125,4),"")</f>
        <v/>
      </c>
      <c r="AF123" s="301"/>
      <c r="AG123" s="302" t="str">
        <f>IFERROR(ROUNDDOWN(AH125/AG125,4),"")</f>
        <v/>
      </c>
      <c r="AH123" s="303"/>
      <c r="AK123" s="38"/>
      <c r="AL123" s="38"/>
    </row>
    <row r="124" spans="1:38" ht="119.25" customHeight="1">
      <c r="A124" s="356"/>
      <c r="B124" s="6" t="s">
        <v>3</v>
      </c>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200" t="str">
        <f>IF(AK121="","","対象期間")</f>
        <v/>
      </c>
      <c r="AF124" s="201" t="str">
        <f>IF(AK121="","","閉所予定日数")</f>
        <v/>
      </c>
      <c r="AG124" s="204" t="str">
        <f>IF(AK121="","","対象期間")</f>
        <v/>
      </c>
      <c r="AH124" s="212" t="str">
        <f>IF(AK121="","","閉所実施日数")</f>
        <v/>
      </c>
      <c r="AI124" s="39"/>
      <c r="AK124" s="40"/>
      <c r="AL124" s="40"/>
    </row>
    <row r="125" spans="1:38" ht="28.5" customHeight="1">
      <c r="A125" s="356"/>
      <c r="B125" s="5" t="s">
        <v>4</v>
      </c>
      <c r="C125" s="174" t="str">
        <f>IF(C121="","",IF($E$8="営繕","休",""))</f>
        <v/>
      </c>
      <c r="D125" s="174" t="str">
        <f>IF(D121="","",IF($E$8="営繕","休",""))</f>
        <v/>
      </c>
      <c r="E125" s="174"/>
      <c r="F125" s="174"/>
      <c r="G125" s="174"/>
      <c r="H125" s="174" t="str">
        <f>IF(H121="","",IF($E$8="土木","休",""))</f>
        <v/>
      </c>
      <c r="I125" s="174" t="str">
        <f>IF(I121="","",IF($E$8="土木","休",""))</f>
        <v/>
      </c>
      <c r="J125" s="174" t="str">
        <f>IF(J121="","",IF($E$8="営繕","休",""))</f>
        <v/>
      </c>
      <c r="K125" s="174" t="str">
        <f>IF(K121="","",IF($E$8="営繕","休",""))</f>
        <v/>
      </c>
      <c r="L125" s="174"/>
      <c r="M125" s="174"/>
      <c r="N125" s="174"/>
      <c r="O125" s="174" t="str">
        <f>IF(O121="","",IF($E$8="土木","休",""))</f>
        <v/>
      </c>
      <c r="P125" s="174" t="str">
        <f>IF(P121="","",IF($E$8="土木","休",""))</f>
        <v/>
      </c>
      <c r="Q125" s="174" t="str">
        <f>IF(Q121="","",IF($E$8="営繕","休",""))</f>
        <v/>
      </c>
      <c r="R125" s="174" t="str">
        <f>IF(R121="","",IF($E$8="営繕","休",""))</f>
        <v/>
      </c>
      <c r="S125" s="174"/>
      <c r="T125" s="174"/>
      <c r="U125" s="174"/>
      <c r="V125" s="174" t="str">
        <f>IF(V121="","",IF($E$8="土木","休",""))</f>
        <v/>
      </c>
      <c r="W125" s="174" t="str">
        <f>IF(W121="","",IF($E$8="土木","休",""))</f>
        <v/>
      </c>
      <c r="X125" s="174" t="str">
        <f>IF(X121="","",IF($E$8="営繕","休",""))</f>
        <v/>
      </c>
      <c r="Y125" s="174" t="str">
        <f>IF(Y121="","",IF($E$8="営繕","休",""))</f>
        <v/>
      </c>
      <c r="Z125" s="174"/>
      <c r="AA125" s="174"/>
      <c r="AB125" s="174"/>
      <c r="AC125" s="174" t="str">
        <f>IF(AC121="","",IF($E$8="土木","休",""))</f>
        <v/>
      </c>
      <c r="AD125" s="174" t="str">
        <f>IF(AD121="","",IF($E$8="土木","休",""))</f>
        <v/>
      </c>
      <c r="AE125" s="202" t="str">
        <f>IF(AK122="","",28-COUNTIF(C125:AD125,"夏")-COUNTIF(C125:AD125,"正")-COUNTIF(C125:AD125,"止")-COUNTIF(C125:AD125,"準")-COUNTIF(C125:AD125,"完"))</f>
        <v/>
      </c>
      <c r="AF125" s="203" t="str">
        <f>IF(AK122="","",COUNTIF(C125:AD125,"休"))</f>
        <v/>
      </c>
      <c r="AG125" s="205" t="str">
        <f>IF(AK122="","",28-COUNTIF(C126:AD126,"夏")-COUNTIF(C126:AD126,"正")-COUNTIF(C126:AD126,"止")-COUNTIF(C126:AD126,"準")-COUNTIF(C126:AD126,"完"))</f>
        <v/>
      </c>
      <c r="AH125" s="213" t="str">
        <f>IF(AK122="","",COUNTIF(C126:AD126,"休")+COUNTIF(C126:AD126,"代"))</f>
        <v/>
      </c>
      <c r="AJ125" s="60" t="str">
        <f>IFERROR(IF(AK122&gt;$Q$7,$Q$7-AK121+1-COUNTIF(C125:AD125,"夏")-COUNTIF(C125:AD125,"正")-COUNTIF(C125:AD125,"止")-COUNTIF(C125:AD125,"準")-COUNTIF(C125:AD125,"完"),28-COUNTIF(C125:AD125,"夏")-COUNTIF(C125:AD125,"正")-COUNTIF(C125:AD125,"止")-COUNTIF(C125:AD125,"準")-COUNTIF(C125:AD125,"完")),"")</f>
        <v/>
      </c>
      <c r="AK125" s="38"/>
      <c r="AL125" s="38"/>
    </row>
    <row r="126" spans="1:38" ht="28.5" customHeight="1" thickBot="1">
      <c r="A126" s="357"/>
      <c r="B126" s="214" t="s">
        <v>5</v>
      </c>
      <c r="C126" s="215"/>
      <c r="D126" s="215"/>
      <c r="E126" s="215"/>
      <c r="F126" s="215"/>
      <c r="G126" s="215"/>
      <c r="H126" s="215"/>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477" t="str">
        <f>IF(AK122="","",IF(AE123&gt;=0.285,"週休二日達成","未達成"))</f>
        <v/>
      </c>
      <c r="AF126" s="478"/>
      <c r="AG126" s="479" t="str">
        <f>IF(AK122="","",IF(AG123&gt;=0.285,"週休二日達成","未達成"))</f>
        <v/>
      </c>
      <c r="AH126" s="480"/>
      <c r="AK126" s="41">
        <f>IFERROR(ROUND(AF125/AE125,3),0)</f>
        <v>0</v>
      </c>
      <c r="AL126" s="42">
        <f>IFERROR(ROUND(AH125/AG125,3),0)</f>
        <v>0</v>
      </c>
    </row>
    <row r="127" spans="1:38" ht="23.25" customHeight="1">
      <c r="A127" s="355" t="str">
        <f>IF(AK127="","","第20期")</f>
        <v/>
      </c>
      <c r="B127" s="209" t="s">
        <v>0</v>
      </c>
      <c r="C127" s="210" t="str">
        <f>IF($AK$15+$AD$12+$AJ121&lt;=$Q$7,$AK$15+$AD$12+$AJ121,"")</f>
        <v/>
      </c>
      <c r="D127" s="210" t="str">
        <f t="shared" ref="D127:AD127" si="57">IF($AK$15+$AJ127+C$12&lt;=$Q$7,$AK$15+$AJ127+C$12,"")</f>
        <v/>
      </c>
      <c r="E127" s="210" t="str">
        <f t="shared" si="57"/>
        <v/>
      </c>
      <c r="F127" s="210" t="str">
        <f t="shared" si="57"/>
        <v/>
      </c>
      <c r="G127" s="210" t="str">
        <f t="shared" si="57"/>
        <v/>
      </c>
      <c r="H127" s="210" t="str">
        <f t="shared" si="57"/>
        <v/>
      </c>
      <c r="I127" s="210" t="str">
        <f t="shared" si="57"/>
        <v/>
      </c>
      <c r="J127" s="210" t="str">
        <f t="shared" si="57"/>
        <v/>
      </c>
      <c r="K127" s="210" t="str">
        <f t="shared" si="57"/>
        <v/>
      </c>
      <c r="L127" s="210" t="str">
        <f t="shared" si="57"/>
        <v/>
      </c>
      <c r="M127" s="210" t="str">
        <f t="shared" si="57"/>
        <v/>
      </c>
      <c r="N127" s="210" t="str">
        <f t="shared" si="57"/>
        <v/>
      </c>
      <c r="O127" s="210" t="str">
        <f t="shared" si="57"/>
        <v/>
      </c>
      <c r="P127" s="210" t="str">
        <f t="shared" si="57"/>
        <v/>
      </c>
      <c r="Q127" s="210" t="str">
        <f t="shared" si="57"/>
        <v/>
      </c>
      <c r="R127" s="210" t="str">
        <f t="shared" si="57"/>
        <v/>
      </c>
      <c r="S127" s="210" t="str">
        <f t="shared" si="57"/>
        <v/>
      </c>
      <c r="T127" s="210" t="str">
        <f t="shared" si="57"/>
        <v/>
      </c>
      <c r="U127" s="210" t="str">
        <f t="shared" si="57"/>
        <v/>
      </c>
      <c r="V127" s="210" t="str">
        <f t="shared" si="57"/>
        <v/>
      </c>
      <c r="W127" s="210" t="str">
        <f t="shared" si="57"/>
        <v/>
      </c>
      <c r="X127" s="210" t="str">
        <f t="shared" si="57"/>
        <v/>
      </c>
      <c r="Y127" s="210" t="str">
        <f t="shared" si="57"/>
        <v/>
      </c>
      <c r="Z127" s="210" t="str">
        <f t="shared" si="57"/>
        <v/>
      </c>
      <c r="AA127" s="210" t="str">
        <f t="shared" si="57"/>
        <v/>
      </c>
      <c r="AB127" s="210" t="str">
        <f t="shared" si="57"/>
        <v/>
      </c>
      <c r="AC127" s="210" t="str">
        <f t="shared" si="57"/>
        <v/>
      </c>
      <c r="AD127" s="210" t="str">
        <f t="shared" si="57"/>
        <v/>
      </c>
      <c r="AE127" s="304" t="str">
        <f>IF(AK127="","","土日数")</f>
        <v/>
      </c>
      <c r="AF127" s="305"/>
      <c r="AG127" s="306" t="str">
        <f>IFERROR(NETWORKDAYS.INTL(AK127,IF(AL128="〇",AK128,$Q$7),"1111100"),"")</f>
        <v/>
      </c>
      <c r="AH127" s="307"/>
      <c r="AJ127" s="60">
        <f>28*19</f>
        <v>532</v>
      </c>
      <c r="AK127" s="353" t="str">
        <f>IF($AK$15+AJ127&lt;=$AK$6,$AK$15+AJ127,"")</f>
        <v/>
      </c>
      <c r="AL127" s="353"/>
    </row>
    <row r="128" spans="1:38" ht="23.25" customHeight="1">
      <c r="A128" s="356"/>
      <c r="B128" s="54" t="s">
        <v>1</v>
      </c>
      <c r="C128" s="179" t="str">
        <f>IF($AK$15+$AD$12+$AJ121&lt;=$Q$7,$AK$15+$AD$12+$AJ121,"")</f>
        <v/>
      </c>
      <c r="D128" s="179" t="str">
        <f t="shared" ref="D128:AD128" si="58">IF($AK$15+$AJ127+C$12&lt;=$Q$7,$AK$15+$AJ127+C$12,"")</f>
        <v/>
      </c>
      <c r="E128" s="179" t="str">
        <f t="shared" si="58"/>
        <v/>
      </c>
      <c r="F128" s="179" t="str">
        <f t="shared" si="58"/>
        <v/>
      </c>
      <c r="G128" s="179" t="str">
        <f t="shared" si="58"/>
        <v/>
      </c>
      <c r="H128" s="179" t="str">
        <f t="shared" si="58"/>
        <v/>
      </c>
      <c r="I128" s="179" t="str">
        <f t="shared" si="58"/>
        <v/>
      </c>
      <c r="J128" s="179" t="str">
        <f t="shared" si="58"/>
        <v/>
      </c>
      <c r="K128" s="179" t="str">
        <f t="shared" si="58"/>
        <v/>
      </c>
      <c r="L128" s="179" t="str">
        <f t="shared" si="58"/>
        <v/>
      </c>
      <c r="M128" s="179" t="str">
        <f t="shared" si="58"/>
        <v/>
      </c>
      <c r="N128" s="179" t="str">
        <f t="shared" si="58"/>
        <v/>
      </c>
      <c r="O128" s="179" t="str">
        <f t="shared" si="58"/>
        <v/>
      </c>
      <c r="P128" s="179" t="str">
        <f t="shared" si="58"/>
        <v/>
      </c>
      <c r="Q128" s="179" t="str">
        <f t="shared" si="58"/>
        <v/>
      </c>
      <c r="R128" s="179" t="str">
        <f t="shared" si="58"/>
        <v/>
      </c>
      <c r="S128" s="179" t="str">
        <f t="shared" si="58"/>
        <v/>
      </c>
      <c r="T128" s="179" t="str">
        <f t="shared" si="58"/>
        <v/>
      </c>
      <c r="U128" s="179" t="str">
        <f t="shared" si="58"/>
        <v/>
      </c>
      <c r="V128" s="179" t="str">
        <f t="shared" si="58"/>
        <v/>
      </c>
      <c r="W128" s="179" t="str">
        <f t="shared" si="58"/>
        <v/>
      </c>
      <c r="X128" s="179" t="str">
        <f t="shared" si="58"/>
        <v/>
      </c>
      <c r="Y128" s="179" t="str">
        <f t="shared" si="58"/>
        <v/>
      </c>
      <c r="Z128" s="179" t="str">
        <f t="shared" si="58"/>
        <v/>
      </c>
      <c r="AA128" s="179" t="str">
        <f t="shared" si="58"/>
        <v/>
      </c>
      <c r="AB128" s="179" t="str">
        <f t="shared" si="58"/>
        <v/>
      </c>
      <c r="AC128" s="179" t="str">
        <f t="shared" si="58"/>
        <v/>
      </c>
      <c r="AD128" s="179" t="str">
        <f t="shared" si="58"/>
        <v/>
      </c>
      <c r="AE128" s="308" t="str">
        <f>IF(AK127="","","現場閉所率")</f>
        <v/>
      </c>
      <c r="AF128" s="309"/>
      <c r="AG128" s="314" t="str">
        <f>IF(AK127="","","現場閉所率")</f>
        <v/>
      </c>
      <c r="AH128" s="315"/>
      <c r="AJ128" s="60"/>
      <c r="AK128" s="197" t="str">
        <f>IFERROR(AK127+28-1,"")</f>
        <v/>
      </c>
      <c r="AL128" s="197" t="str">
        <f>IFERROR(IF(AK128&lt;=$Q$7,"〇","×"),"")</f>
        <v>×</v>
      </c>
    </row>
    <row r="129" spans="1:38" ht="23.25" customHeight="1">
      <c r="A129" s="356"/>
      <c r="B129" s="8" t="s">
        <v>2</v>
      </c>
      <c r="C129" s="183" t="str">
        <f t="shared" ref="C129:AD129" si="59">TEXT(C128,"aaa")</f>
        <v/>
      </c>
      <c r="D129" s="183" t="str">
        <f t="shared" si="59"/>
        <v/>
      </c>
      <c r="E129" s="183" t="str">
        <f t="shared" si="59"/>
        <v/>
      </c>
      <c r="F129" s="183" t="str">
        <f t="shared" si="59"/>
        <v/>
      </c>
      <c r="G129" s="183" t="str">
        <f t="shared" si="59"/>
        <v/>
      </c>
      <c r="H129" s="183" t="str">
        <f t="shared" si="59"/>
        <v/>
      </c>
      <c r="I129" s="183" t="str">
        <f t="shared" si="59"/>
        <v/>
      </c>
      <c r="J129" s="183" t="str">
        <f t="shared" si="59"/>
        <v/>
      </c>
      <c r="K129" s="183" t="str">
        <f t="shared" si="59"/>
        <v/>
      </c>
      <c r="L129" s="183" t="str">
        <f t="shared" si="59"/>
        <v/>
      </c>
      <c r="M129" s="183" t="str">
        <f t="shared" si="59"/>
        <v/>
      </c>
      <c r="N129" s="183" t="str">
        <f t="shared" si="59"/>
        <v/>
      </c>
      <c r="O129" s="183" t="str">
        <f t="shared" si="59"/>
        <v/>
      </c>
      <c r="P129" s="183" t="str">
        <f t="shared" si="59"/>
        <v/>
      </c>
      <c r="Q129" s="183" t="str">
        <f t="shared" si="59"/>
        <v/>
      </c>
      <c r="R129" s="183" t="str">
        <f t="shared" si="59"/>
        <v/>
      </c>
      <c r="S129" s="183" t="str">
        <f t="shared" si="59"/>
        <v/>
      </c>
      <c r="T129" s="183" t="str">
        <f t="shared" si="59"/>
        <v/>
      </c>
      <c r="U129" s="183" t="str">
        <f t="shared" si="59"/>
        <v/>
      </c>
      <c r="V129" s="183" t="str">
        <f t="shared" si="59"/>
        <v/>
      </c>
      <c r="W129" s="183" t="str">
        <f t="shared" si="59"/>
        <v/>
      </c>
      <c r="X129" s="183" t="str">
        <f t="shared" si="59"/>
        <v/>
      </c>
      <c r="Y129" s="183" t="str">
        <f t="shared" si="59"/>
        <v/>
      </c>
      <c r="Z129" s="183" t="str">
        <f t="shared" si="59"/>
        <v/>
      </c>
      <c r="AA129" s="183" t="str">
        <f t="shared" si="59"/>
        <v/>
      </c>
      <c r="AB129" s="183" t="str">
        <f t="shared" si="59"/>
        <v/>
      </c>
      <c r="AC129" s="183" t="str">
        <f t="shared" si="59"/>
        <v/>
      </c>
      <c r="AD129" s="183" t="str">
        <f t="shared" si="59"/>
        <v/>
      </c>
      <c r="AE129" s="300" t="str">
        <f>IFERROR(ROUNDDOWN(AF131/AE131,4),"")</f>
        <v/>
      </c>
      <c r="AF129" s="301"/>
      <c r="AG129" s="302" t="str">
        <f>IFERROR(ROUNDDOWN(AH131/AG131,4),"")</f>
        <v/>
      </c>
      <c r="AH129" s="303"/>
      <c r="AJ129" s="60"/>
      <c r="AK129" s="38"/>
      <c r="AL129" s="38"/>
    </row>
    <row r="130" spans="1:38" ht="119.25" customHeight="1">
      <c r="A130" s="356"/>
      <c r="B130" s="6" t="s">
        <v>3</v>
      </c>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200" t="str">
        <f>IF(AK127="","","対象期間")</f>
        <v/>
      </c>
      <c r="AF130" s="201" t="str">
        <f>IF(AK127="","","閉所予定日数")</f>
        <v/>
      </c>
      <c r="AG130" s="204" t="str">
        <f>IF(AK127="","","対象期間")</f>
        <v/>
      </c>
      <c r="AH130" s="212" t="str">
        <f>IF(AK127="","","閉所実施日数")</f>
        <v/>
      </c>
      <c r="AI130" s="39"/>
      <c r="AK130" s="40"/>
      <c r="AL130" s="40"/>
    </row>
    <row r="131" spans="1:38" ht="28.5" customHeight="1">
      <c r="A131" s="356"/>
      <c r="B131" s="5" t="s">
        <v>4</v>
      </c>
      <c r="C131" s="174" t="str">
        <f>IF(C127="","",IF($E$8="営繕","休",""))</f>
        <v/>
      </c>
      <c r="D131" s="174" t="str">
        <f>IF(D127="","",IF($E$8="営繕","休",""))</f>
        <v/>
      </c>
      <c r="E131" s="174"/>
      <c r="F131" s="174"/>
      <c r="G131" s="174"/>
      <c r="H131" s="174" t="str">
        <f>IF(H127="","",IF($E$8="土木","休",""))</f>
        <v/>
      </c>
      <c r="I131" s="174" t="str">
        <f>IF(I127="","",IF($E$8="土木","休",""))</f>
        <v/>
      </c>
      <c r="J131" s="174" t="str">
        <f>IF(J127="","",IF($E$8="営繕","休",""))</f>
        <v/>
      </c>
      <c r="K131" s="174" t="str">
        <f>IF(K127="","",IF($E$8="営繕","休",""))</f>
        <v/>
      </c>
      <c r="L131" s="174"/>
      <c r="M131" s="174"/>
      <c r="N131" s="174"/>
      <c r="O131" s="174" t="str">
        <f>IF(O127="","",IF($E$8="土木","休",""))</f>
        <v/>
      </c>
      <c r="P131" s="174" t="str">
        <f>IF(P127="","",IF($E$8="土木","休",""))</f>
        <v/>
      </c>
      <c r="Q131" s="174" t="str">
        <f>IF(Q127="","",IF($E$8="営繕","休",""))</f>
        <v/>
      </c>
      <c r="R131" s="174" t="str">
        <f>IF(R127="","",IF($E$8="営繕","休",""))</f>
        <v/>
      </c>
      <c r="S131" s="174"/>
      <c r="T131" s="174"/>
      <c r="U131" s="174"/>
      <c r="V131" s="174" t="str">
        <f>IF(V127="","",IF($E$8="土木","休",""))</f>
        <v/>
      </c>
      <c r="W131" s="174" t="str">
        <f>IF(W127="","",IF($E$8="土木","休",""))</f>
        <v/>
      </c>
      <c r="X131" s="174" t="str">
        <f>IF(X127="","",IF($E$8="営繕","休",""))</f>
        <v/>
      </c>
      <c r="Y131" s="174" t="str">
        <f>IF(Y127="","",IF($E$8="営繕","休",""))</f>
        <v/>
      </c>
      <c r="Z131" s="174"/>
      <c r="AA131" s="174"/>
      <c r="AB131" s="174"/>
      <c r="AC131" s="174" t="str">
        <f>IF(AC127="","",IF($E$8="土木","休",""))</f>
        <v/>
      </c>
      <c r="AD131" s="174" t="str">
        <f>IF(AD127="","",IF($E$8="土木","休",""))</f>
        <v/>
      </c>
      <c r="AE131" s="202" t="str">
        <f>IF(AK128="","",28-COUNTIF(C131:AD131,"夏")-COUNTIF(C131:AD131,"正")-COUNTIF(C131:AD131,"止")-COUNTIF(C131:AD131,"準")-COUNTIF(C131:AD131,"完"))</f>
        <v/>
      </c>
      <c r="AF131" s="203" t="str">
        <f>IF(AK128="","",COUNTIF(C131:AD131,"休"))</f>
        <v/>
      </c>
      <c r="AG131" s="205" t="str">
        <f>IF(AK128="","",28-COUNTIF(C132:AD132,"夏")-COUNTIF(C132:AD132,"正")-COUNTIF(C132:AD132,"止")-COUNTIF(C132:AD132,"準")-COUNTIF(C132:AD132,"完"))</f>
        <v/>
      </c>
      <c r="AH131" s="213" t="str">
        <f>IF(AK128="","",COUNTIF(C132:AD132,"休")+COUNTIF(C132:AD132,"代"))</f>
        <v/>
      </c>
      <c r="AJ131" s="60" t="str">
        <f>IFERROR(IF(AK128&gt;$Q$7,$Q$7-AK127+1-COUNTIF(C131:AD131,"夏")-COUNTIF(C131:AD131,"正")-COUNTIF(C131:AD131,"止")-COUNTIF(C131:AD131,"準")-COUNTIF(C131:AD131,"完"),28-COUNTIF(C131:AD131,"夏")-COUNTIF(C131:AD131,"正")-COUNTIF(C131:AD131,"止")-COUNTIF(C131:AD131,"準")-COUNTIF(C131:AD131,"完")),"")</f>
        <v/>
      </c>
      <c r="AK131" s="38"/>
      <c r="AL131" s="38"/>
    </row>
    <row r="132" spans="1:38" ht="28.5" customHeight="1" thickBot="1">
      <c r="A132" s="357"/>
      <c r="B132" s="214" t="s">
        <v>5</v>
      </c>
      <c r="C132" s="215"/>
      <c r="D132" s="215"/>
      <c r="E132" s="215"/>
      <c r="F132" s="215"/>
      <c r="G132" s="215"/>
      <c r="H132" s="215"/>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477" t="str">
        <f>IF(AK128="","",IF(AE129&gt;=0.285,"週休二日達成","未達成"))</f>
        <v/>
      </c>
      <c r="AF132" s="478"/>
      <c r="AG132" s="479" t="str">
        <f>IF(AK128="","",IF(AG129&gt;=0.285,"週休二日達成","未達成"))</f>
        <v/>
      </c>
      <c r="AH132" s="480"/>
      <c r="AK132" s="41">
        <f>IFERROR(ROUND(AF131/AE131,3),0)</f>
        <v>0</v>
      </c>
      <c r="AL132" s="42">
        <f>IFERROR(ROUND(AH131/AG131,3),0)</f>
        <v>0</v>
      </c>
    </row>
    <row r="133" spans="1:38" ht="18.75" hidden="1">
      <c r="A133" s="28"/>
      <c r="B133" s="29"/>
      <c r="C133" s="29"/>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79"/>
      <c r="AF133" s="379"/>
      <c r="AG133" s="354"/>
      <c r="AH133" s="354"/>
      <c r="AK133" s="38"/>
      <c r="AL133" s="38"/>
    </row>
    <row r="134" spans="1:38" ht="21" hidden="1">
      <c r="B134" s="22"/>
      <c r="C134" s="82"/>
      <c r="D134" s="82"/>
      <c r="E134" s="82"/>
      <c r="F134" s="82"/>
      <c r="G134" s="82"/>
      <c r="H134" s="82"/>
      <c r="I134" s="82"/>
      <c r="J134" s="82"/>
      <c r="K134" s="82"/>
      <c r="L134" s="82"/>
      <c r="M134" s="80"/>
      <c r="N134" s="80"/>
      <c r="O134" s="80"/>
      <c r="P134" s="83"/>
      <c r="Q134" s="83"/>
      <c r="R134" s="83"/>
      <c r="S134" s="83"/>
      <c r="T134" s="83"/>
      <c r="U134" s="83"/>
      <c r="V134" s="83"/>
      <c r="W134" s="18"/>
    </row>
    <row r="135" spans="1:38" ht="21" hidden="1">
      <c r="A135" s="13"/>
      <c r="B135" s="22"/>
      <c r="C135" s="88"/>
      <c r="D135" s="11" t="s">
        <v>34</v>
      </c>
      <c r="E135" s="82"/>
      <c r="F135" s="82"/>
      <c r="G135" s="82"/>
      <c r="H135" s="82"/>
      <c r="I135" s="320"/>
      <c r="J135" s="320"/>
      <c r="K135" s="85"/>
      <c r="L135" s="82"/>
      <c r="M135" s="317"/>
      <c r="N135" s="317"/>
      <c r="O135" s="81"/>
      <c r="P135" s="321"/>
      <c r="Q135" s="321"/>
      <c r="R135" s="321"/>
      <c r="S135" s="321"/>
      <c r="T135" s="321"/>
      <c r="U135" s="321"/>
      <c r="V135" s="82"/>
      <c r="W135" s="18"/>
      <c r="X135" s="14"/>
      <c r="Y135" s="14"/>
      <c r="Z135" s="14"/>
      <c r="AA135" s="14"/>
      <c r="AB135" s="14"/>
      <c r="AC135" s="14"/>
      <c r="AD135" s="14"/>
      <c r="AE135" s="15"/>
      <c r="AF135" s="15"/>
      <c r="AG135" s="14"/>
      <c r="AH135" s="16"/>
    </row>
    <row r="136" spans="1:38" ht="18.75" hidden="1">
      <c r="A136" s="17"/>
      <c r="B136" s="22"/>
      <c r="C136" s="79" t="s">
        <v>34</v>
      </c>
      <c r="D136" s="11" t="s">
        <v>18</v>
      </c>
      <c r="E136" s="18"/>
      <c r="F136" s="12" t="s">
        <v>126</v>
      </c>
      <c r="G136" s="18" t="s">
        <v>137</v>
      </c>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55" t="s">
        <v>13</v>
      </c>
      <c r="AF136" s="19"/>
      <c r="AG136" s="18"/>
      <c r="AH136" s="20"/>
    </row>
    <row r="137" spans="1:38" ht="18.75" hidden="1">
      <c r="A137" s="17"/>
      <c r="B137" s="22"/>
      <c r="C137" s="11" t="s">
        <v>31</v>
      </c>
      <c r="D137" s="11" t="s">
        <v>31</v>
      </c>
      <c r="E137" s="18"/>
      <c r="F137" s="12" t="s">
        <v>127</v>
      </c>
      <c r="G137" s="18" t="s">
        <v>138</v>
      </c>
      <c r="H137" s="18"/>
      <c r="I137" s="18"/>
      <c r="J137" s="56" t="s">
        <v>22</v>
      </c>
      <c r="K137" s="57"/>
      <c r="L137" s="57"/>
      <c r="M137" s="57"/>
      <c r="N137" s="57"/>
      <c r="O137" s="57"/>
      <c r="P137" s="57"/>
      <c r="Q137" s="57"/>
      <c r="R137" s="57"/>
      <c r="S137" s="57"/>
      <c r="T137" s="57"/>
      <c r="U137" s="57"/>
      <c r="V137" s="57"/>
      <c r="W137" s="57"/>
      <c r="X137" s="58"/>
      <c r="Y137" s="18"/>
      <c r="Z137" s="18"/>
      <c r="AA137" s="18"/>
      <c r="AB137" s="18"/>
      <c r="AC137" s="18"/>
      <c r="AD137" s="18"/>
      <c r="AE137" s="55" t="s">
        <v>14</v>
      </c>
      <c r="AF137" s="19"/>
      <c r="AG137" s="18"/>
      <c r="AH137" s="20"/>
    </row>
    <row r="138" spans="1:38" ht="18.75" hidden="1">
      <c r="A138" s="17"/>
      <c r="B138" s="22"/>
      <c r="C138" s="11" t="s">
        <v>32</v>
      </c>
      <c r="D138" s="11" t="s">
        <v>32</v>
      </c>
      <c r="F138" s="12" t="s">
        <v>128</v>
      </c>
      <c r="G138" s="18"/>
      <c r="H138" s="18"/>
      <c r="I138" s="18"/>
      <c r="J138" s="56" t="s">
        <v>19</v>
      </c>
      <c r="K138" s="57"/>
      <c r="L138" s="57"/>
      <c r="M138" s="57"/>
      <c r="N138" s="57"/>
      <c r="O138" s="57"/>
      <c r="P138" s="57"/>
      <c r="Q138" s="57"/>
      <c r="R138" s="57"/>
      <c r="S138" s="57"/>
      <c r="T138" s="57"/>
      <c r="U138" s="57"/>
      <c r="V138" s="57"/>
      <c r="W138" s="57"/>
      <c r="X138" s="58"/>
      <c r="Y138" s="18"/>
      <c r="Z138" s="18"/>
      <c r="AA138" s="18"/>
      <c r="AB138" s="18"/>
      <c r="AC138" s="18"/>
      <c r="AD138" s="18"/>
      <c r="AE138" s="55" t="s">
        <v>15</v>
      </c>
      <c r="AF138" s="19"/>
      <c r="AG138" s="18"/>
      <c r="AH138" s="20"/>
    </row>
    <row r="139" spans="1:38" ht="18.75" hidden="1">
      <c r="A139" s="17"/>
      <c r="B139" s="22"/>
      <c r="C139" s="11" t="s">
        <v>33</v>
      </c>
      <c r="D139" s="11" t="s">
        <v>33</v>
      </c>
      <c r="E139" s="18"/>
      <c r="F139" s="12"/>
      <c r="G139" s="18"/>
      <c r="H139" s="18"/>
      <c r="I139" s="18"/>
      <c r="J139" s="56" t="s">
        <v>20</v>
      </c>
      <c r="K139" s="57"/>
      <c r="L139" s="57"/>
      <c r="M139" s="57"/>
      <c r="N139" s="57"/>
      <c r="O139" s="57"/>
      <c r="P139" s="57"/>
      <c r="Q139" s="57"/>
      <c r="R139" s="57"/>
      <c r="S139" s="57"/>
      <c r="T139" s="57"/>
      <c r="U139" s="57"/>
      <c r="V139" s="57"/>
      <c r="W139" s="57"/>
      <c r="X139" s="58"/>
      <c r="Y139" s="18"/>
      <c r="Z139" s="18"/>
      <c r="AA139" s="18"/>
      <c r="AB139" s="18"/>
      <c r="AC139" s="18"/>
      <c r="AD139" s="18"/>
      <c r="AE139" s="19"/>
      <c r="AF139" s="19"/>
      <c r="AG139" s="18"/>
      <c r="AH139" s="20"/>
    </row>
    <row r="140" spans="1:38" ht="18.75" hidden="1">
      <c r="A140" s="17"/>
      <c r="B140" s="22"/>
      <c r="C140" s="11" t="s">
        <v>35</v>
      </c>
      <c r="D140" s="11" t="s">
        <v>35</v>
      </c>
      <c r="E140" s="18"/>
      <c r="G140" s="18"/>
      <c r="H140" s="18"/>
      <c r="I140" s="18"/>
      <c r="J140" s="56"/>
      <c r="K140" s="57"/>
      <c r="L140" s="57"/>
      <c r="M140" s="57"/>
      <c r="N140" s="57"/>
      <c r="O140" s="57"/>
      <c r="P140" s="57"/>
      <c r="Q140" s="57"/>
      <c r="R140" s="57"/>
      <c r="S140" s="57"/>
      <c r="T140" s="57"/>
      <c r="U140" s="57"/>
      <c r="V140" s="57"/>
      <c r="W140" s="57"/>
      <c r="X140" s="58"/>
      <c r="Y140" s="18"/>
      <c r="Z140" s="18"/>
      <c r="AA140" s="18"/>
      <c r="AB140" s="18"/>
      <c r="AC140" s="18"/>
      <c r="AD140" s="18"/>
      <c r="AE140" s="19"/>
      <c r="AF140" s="19"/>
      <c r="AG140" s="18"/>
      <c r="AH140" s="20"/>
    </row>
    <row r="141" spans="1:38" ht="18.75" hidden="1">
      <c r="A141" s="17"/>
      <c r="B141" s="22"/>
      <c r="C141" s="11" t="s">
        <v>17</v>
      </c>
      <c r="D141" s="11" t="s">
        <v>17</v>
      </c>
      <c r="E141" s="18"/>
      <c r="F141" s="18"/>
      <c r="G141" s="18"/>
      <c r="H141" s="18"/>
      <c r="I141" s="18"/>
      <c r="J141" s="59"/>
      <c r="K141" s="57"/>
      <c r="L141" s="57"/>
      <c r="M141" s="57"/>
      <c r="N141" s="57"/>
      <c r="O141" s="57"/>
      <c r="P141" s="57"/>
      <c r="Q141" s="57"/>
      <c r="R141" s="57"/>
      <c r="S141" s="57"/>
      <c r="T141" s="57"/>
      <c r="U141" s="57"/>
      <c r="V141" s="57"/>
      <c r="W141" s="57"/>
      <c r="X141" s="58"/>
      <c r="Y141" s="18"/>
      <c r="Z141" s="18"/>
      <c r="AA141" s="18"/>
      <c r="AB141" s="18"/>
      <c r="AC141" s="18"/>
      <c r="AD141" s="18"/>
      <c r="AE141" s="19"/>
      <c r="AF141" s="19"/>
      <c r="AG141" s="18"/>
      <c r="AH141" s="20"/>
    </row>
    <row r="142" spans="1:38" hidden="1">
      <c r="A142" s="17"/>
      <c r="B142" s="22"/>
      <c r="E142" s="18"/>
      <c r="F142" s="18"/>
      <c r="G142" s="18"/>
      <c r="H142" s="18"/>
      <c r="I142" s="18"/>
      <c r="J142" s="59"/>
      <c r="K142" s="57"/>
      <c r="L142" s="57"/>
      <c r="M142" s="57"/>
      <c r="N142" s="57"/>
      <c r="O142" s="57"/>
      <c r="P142" s="57"/>
      <c r="Q142" s="57"/>
      <c r="R142" s="57"/>
      <c r="S142" s="57"/>
      <c r="T142" s="57"/>
      <c r="U142" s="57"/>
      <c r="V142" s="57"/>
      <c r="W142" s="57"/>
      <c r="X142" s="58"/>
      <c r="Y142" s="18"/>
      <c r="Z142" s="18"/>
      <c r="AA142" s="18"/>
      <c r="AB142" s="18"/>
      <c r="AC142" s="18"/>
      <c r="AD142" s="18"/>
      <c r="AE142" s="19"/>
      <c r="AF142" s="19"/>
      <c r="AG142" s="18"/>
      <c r="AH142" s="20"/>
    </row>
    <row r="143" spans="1:38" ht="18.75" hidden="1">
      <c r="A143" s="17"/>
      <c r="B143" s="22"/>
      <c r="C143" s="11"/>
      <c r="D143" s="11"/>
      <c r="E143" s="18"/>
      <c r="F143" s="18"/>
      <c r="G143" s="18"/>
      <c r="H143" s="18"/>
      <c r="I143" s="18"/>
      <c r="J143" s="59"/>
      <c r="K143" s="57"/>
      <c r="L143" s="57"/>
      <c r="M143" s="57"/>
      <c r="N143" s="57"/>
      <c r="O143" s="57"/>
      <c r="P143" s="57"/>
      <c r="Q143" s="57"/>
      <c r="R143" s="57"/>
      <c r="S143" s="57"/>
      <c r="T143" s="57"/>
      <c r="U143" s="57"/>
      <c r="V143" s="57"/>
      <c r="W143" s="57"/>
      <c r="X143" s="58"/>
      <c r="Y143" s="18"/>
      <c r="Z143" s="18"/>
      <c r="AA143" s="18"/>
      <c r="AB143" s="18"/>
      <c r="AC143" s="18"/>
      <c r="AD143" s="18"/>
      <c r="AE143" s="19"/>
      <c r="AF143" s="19"/>
      <c r="AG143" s="18"/>
      <c r="AH143" s="20"/>
    </row>
    <row r="144" spans="1:38" ht="18.75" hidden="1">
      <c r="A144" s="17"/>
      <c r="B144" s="22"/>
      <c r="C144" s="21"/>
      <c r="D144" s="18"/>
      <c r="E144" s="18"/>
      <c r="F144" s="18"/>
      <c r="G144" s="18"/>
      <c r="H144" s="18"/>
      <c r="I144" s="18"/>
      <c r="J144" s="59"/>
      <c r="K144" s="57"/>
      <c r="L144" s="57"/>
      <c r="M144" s="57"/>
      <c r="N144" s="57"/>
      <c r="O144" s="57"/>
      <c r="P144" s="57"/>
      <c r="Q144" s="57"/>
      <c r="R144" s="57"/>
      <c r="S144" s="57"/>
      <c r="T144" s="57"/>
      <c r="U144" s="57"/>
      <c r="V144" s="57"/>
      <c r="W144" s="57"/>
      <c r="X144" s="58"/>
      <c r="Y144" s="18"/>
      <c r="Z144" s="18"/>
      <c r="AA144" s="18"/>
      <c r="AB144" s="18"/>
      <c r="AC144" s="18"/>
      <c r="AD144" s="18"/>
      <c r="AE144" s="19"/>
      <c r="AF144" s="19"/>
      <c r="AG144" s="18"/>
      <c r="AH144" s="20"/>
    </row>
    <row r="145" spans="1:40" ht="18.75" hidden="1">
      <c r="A145" s="17"/>
      <c r="B145" s="22"/>
      <c r="C145" s="11"/>
      <c r="D145" s="11"/>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9"/>
      <c r="AF145" s="19"/>
      <c r="AG145" s="18"/>
      <c r="AH145" s="20"/>
    </row>
    <row r="146" spans="1:40" hidden="1">
      <c r="A146" s="17"/>
      <c r="B146" s="22"/>
      <c r="C146" s="22"/>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9"/>
      <c r="AF146" s="19"/>
      <c r="AG146" s="18"/>
      <c r="AH146" s="20"/>
    </row>
    <row r="147" spans="1:40" hidden="1">
      <c r="A147" s="17"/>
      <c r="B147" s="22"/>
      <c r="C147" s="22"/>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9"/>
      <c r="AF147" s="19"/>
      <c r="AG147" s="18"/>
      <c r="AH147" s="20"/>
    </row>
    <row r="148" spans="1:40" hidden="1">
      <c r="A148" s="17"/>
      <c r="B148" s="22"/>
      <c r="C148" s="22"/>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9"/>
      <c r="AF148" s="19"/>
      <c r="AG148" s="18"/>
      <c r="AH148" s="20"/>
    </row>
    <row r="149" spans="1:40" hidden="1">
      <c r="A149" s="17"/>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19"/>
      <c r="AF149" s="19"/>
      <c r="AG149" s="18"/>
      <c r="AH149" s="20"/>
    </row>
    <row r="150" spans="1:40" s="9" customFormat="1" ht="9" hidden="1">
      <c r="A150" s="23"/>
      <c r="B150" s="51"/>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c r="AD150" s="24"/>
      <c r="AE150" s="25"/>
      <c r="AF150" s="25"/>
      <c r="AG150" s="26"/>
      <c r="AH150" s="27"/>
      <c r="AI150" s="43"/>
      <c r="AJ150" s="43"/>
      <c r="AK150" s="43"/>
      <c r="AL150" s="43"/>
      <c r="AM150" s="43"/>
      <c r="AN150" s="43"/>
    </row>
    <row r="151" spans="1:40" s="9" customFormat="1" ht="9">
      <c r="A151" s="23"/>
      <c r="B151" s="51"/>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E151" s="25"/>
      <c r="AF151" s="25"/>
      <c r="AG151" s="26"/>
      <c r="AH151" s="27"/>
      <c r="AI151" s="43"/>
      <c r="AJ151" s="43"/>
      <c r="AK151" s="43"/>
      <c r="AL151" s="43"/>
      <c r="AM151" s="43"/>
      <c r="AN151" s="43"/>
    </row>
    <row r="152" spans="1:40" s="9" customFormat="1" ht="9">
      <c r="A152" s="23"/>
      <c r="B152" s="51"/>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c r="AD152" s="24"/>
      <c r="AE152" s="25"/>
      <c r="AF152" s="25"/>
      <c r="AG152" s="26"/>
      <c r="AH152" s="27"/>
      <c r="AI152" s="43"/>
      <c r="AJ152" s="43"/>
      <c r="AK152" s="43"/>
      <c r="AL152" s="43"/>
      <c r="AM152" s="43"/>
      <c r="AN152" s="43"/>
    </row>
    <row r="153" spans="1:40" s="9" customFormat="1" ht="9">
      <c r="A153" s="23"/>
      <c r="B153" s="51"/>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c r="AD153" s="24"/>
      <c r="AE153" s="25"/>
      <c r="AF153" s="25"/>
      <c r="AG153" s="26"/>
      <c r="AH153" s="27"/>
      <c r="AI153" s="43"/>
      <c r="AJ153" s="43"/>
      <c r="AK153" s="43"/>
      <c r="AL153" s="43"/>
      <c r="AM153" s="43"/>
      <c r="AN153" s="43"/>
    </row>
    <row r="154" spans="1:40" s="9" customFormat="1" ht="39.950000000000003" customHeight="1">
      <c r="A154" s="23"/>
      <c r="B154" s="51"/>
      <c r="C154" s="24"/>
      <c r="D154" s="24"/>
      <c r="E154" s="24"/>
      <c r="F154" s="328" t="s">
        <v>36</v>
      </c>
      <c r="G154" s="329"/>
      <c r="H154" s="329"/>
      <c r="I154" s="329"/>
      <c r="J154" s="329"/>
      <c r="K154" s="329"/>
      <c r="L154" s="329"/>
      <c r="M154" s="329"/>
      <c r="N154" s="329"/>
      <c r="O154" s="329"/>
      <c r="P154" s="329"/>
      <c r="Q154" s="329"/>
      <c r="R154" s="329"/>
      <c r="S154" s="329"/>
      <c r="T154" s="329"/>
      <c r="U154" s="329"/>
      <c r="V154" s="329"/>
      <c r="W154" s="329"/>
      <c r="X154" s="329"/>
      <c r="Y154" s="330"/>
      <c r="Z154" s="24"/>
      <c r="AA154" s="24"/>
      <c r="AB154" s="24"/>
      <c r="AC154" s="24"/>
      <c r="AD154" s="24"/>
      <c r="AE154" s="25"/>
      <c r="AF154" s="25"/>
      <c r="AG154" s="26"/>
      <c r="AH154" s="27"/>
      <c r="AI154" s="43"/>
      <c r="AJ154" s="43"/>
      <c r="AK154" s="43"/>
      <c r="AL154" s="43"/>
      <c r="AM154" s="43"/>
      <c r="AN154" s="43"/>
    </row>
    <row r="155" spans="1:40" s="9" customFormat="1" ht="39.950000000000003" customHeight="1">
      <c r="A155" s="23"/>
      <c r="B155" s="51"/>
      <c r="C155" s="24"/>
      <c r="D155" s="24"/>
      <c r="E155" s="24"/>
      <c r="F155" s="331" t="s">
        <v>37</v>
      </c>
      <c r="G155" s="332"/>
      <c r="H155" s="332"/>
      <c r="I155" s="332"/>
      <c r="J155" s="332"/>
      <c r="K155" s="332"/>
      <c r="L155" s="332"/>
      <c r="M155" s="332"/>
      <c r="N155" s="332"/>
      <c r="O155" s="333"/>
      <c r="P155" s="331" t="s">
        <v>38</v>
      </c>
      <c r="Q155" s="332"/>
      <c r="R155" s="332"/>
      <c r="S155" s="332"/>
      <c r="T155" s="332"/>
      <c r="U155" s="332"/>
      <c r="V155" s="332"/>
      <c r="W155" s="332"/>
      <c r="X155" s="332"/>
      <c r="Y155" s="75"/>
      <c r="Z155" s="24"/>
      <c r="AA155" s="24"/>
      <c r="AB155" s="24"/>
      <c r="AC155" s="24"/>
      <c r="AD155" s="24"/>
      <c r="AE155" s="25"/>
      <c r="AF155" s="25"/>
      <c r="AG155" s="26"/>
      <c r="AH155" s="27"/>
      <c r="AI155" s="43"/>
      <c r="AJ155" s="43"/>
      <c r="AK155" s="43"/>
      <c r="AL155" s="43"/>
      <c r="AM155" s="43"/>
      <c r="AN155" s="43"/>
    </row>
    <row r="156" spans="1:40" s="9" customFormat="1" ht="39.950000000000003" customHeight="1">
      <c r="A156" s="23"/>
      <c r="B156" s="51"/>
      <c r="C156" s="24"/>
      <c r="D156" s="24"/>
      <c r="E156" s="24"/>
      <c r="F156" s="316" t="s">
        <v>10</v>
      </c>
      <c r="G156" s="317"/>
      <c r="H156" s="103" t="s">
        <v>11</v>
      </c>
      <c r="I156" s="321" t="s">
        <v>16</v>
      </c>
      <c r="J156" s="321"/>
      <c r="K156" s="321"/>
      <c r="L156" s="321"/>
      <c r="M156" s="321"/>
      <c r="N156" s="321"/>
      <c r="O156" s="109"/>
      <c r="P156" s="316" t="s">
        <v>31</v>
      </c>
      <c r="Q156" s="317"/>
      <c r="R156" s="87" t="s">
        <v>11</v>
      </c>
      <c r="S156" s="334" t="s">
        <v>44</v>
      </c>
      <c r="T156" s="334"/>
      <c r="U156" s="334"/>
      <c r="V156" s="334"/>
      <c r="W156" s="334"/>
      <c r="X156" s="334"/>
      <c r="Y156" s="335"/>
      <c r="Z156" s="24"/>
      <c r="AA156" s="24"/>
      <c r="AB156" s="24"/>
      <c r="AC156" s="24"/>
      <c r="AD156" s="24"/>
      <c r="AE156" s="25"/>
      <c r="AF156" s="25"/>
      <c r="AG156" s="26"/>
      <c r="AH156" s="27"/>
      <c r="AI156" s="43"/>
      <c r="AJ156" s="43"/>
      <c r="AK156" s="43"/>
      <c r="AL156" s="43"/>
      <c r="AM156" s="43"/>
      <c r="AN156" s="43"/>
    </row>
    <row r="157" spans="1:40" s="9" customFormat="1" ht="39.950000000000003" customHeight="1">
      <c r="A157" s="23"/>
      <c r="B157" s="51"/>
      <c r="C157" s="24"/>
      <c r="D157" s="24"/>
      <c r="E157" s="24"/>
      <c r="F157" s="316" t="s">
        <v>18</v>
      </c>
      <c r="G157" s="317"/>
      <c r="H157" s="103" t="s">
        <v>11</v>
      </c>
      <c r="I157" s="318" t="s">
        <v>42</v>
      </c>
      <c r="J157" s="319"/>
      <c r="K157" s="319"/>
      <c r="L157" s="319"/>
      <c r="M157" s="319"/>
      <c r="N157" s="319"/>
      <c r="O157" s="110"/>
      <c r="P157" s="316" t="s">
        <v>39</v>
      </c>
      <c r="Q157" s="317"/>
      <c r="R157" s="87" t="s">
        <v>11</v>
      </c>
      <c r="S157" s="336" t="s">
        <v>40</v>
      </c>
      <c r="T157" s="336"/>
      <c r="U157" s="336"/>
      <c r="V157" s="336"/>
      <c r="W157" s="336"/>
      <c r="X157" s="336"/>
      <c r="Y157" s="337"/>
      <c r="Z157" s="24"/>
      <c r="AA157" s="24"/>
      <c r="AB157" s="24"/>
      <c r="AC157" s="24"/>
      <c r="AD157" s="24"/>
      <c r="AE157" s="25"/>
      <c r="AF157" s="25"/>
      <c r="AG157" s="26"/>
      <c r="AH157" s="27"/>
      <c r="AI157" s="43"/>
      <c r="AJ157" s="43"/>
      <c r="AK157" s="43"/>
      <c r="AL157" s="43"/>
      <c r="AM157" s="43"/>
      <c r="AN157" s="43"/>
    </row>
    <row r="158" spans="1:40" s="9" customFormat="1" ht="39.950000000000003" customHeight="1">
      <c r="A158" s="23"/>
      <c r="B158" s="51"/>
      <c r="C158" s="24"/>
      <c r="D158" s="24"/>
      <c r="E158" s="24"/>
      <c r="F158" s="113"/>
      <c r="G158" s="114"/>
      <c r="H158" s="114"/>
      <c r="I158" s="114"/>
      <c r="J158" s="114"/>
      <c r="K158" s="114"/>
      <c r="L158" s="114"/>
      <c r="M158" s="114"/>
      <c r="N158" s="114"/>
      <c r="O158" s="111"/>
      <c r="P158" s="316" t="s">
        <v>33</v>
      </c>
      <c r="Q158" s="317"/>
      <c r="R158" s="87" t="s">
        <v>11</v>
      </c>
      <c r="S158" s="321" t="s">
        <v>41</v>
      </c>
      <c r="T158" s="321"/>
      <c r="U158" s="321"/>
      <c r="V158" s="321"/>
      <c r="W158" s="321"/>
      <c r="X158" s="321"/>
      <c r="Y158" s="326"/>
      <c r="Z158" s="24"/>
      <c r="AA158" s="24"/>
      <c r="AB158" s="24"/>
      <c r="AC158" s="24"/>
      <c r="AD158" s="24"/>
      <c r="AE158" s="25"/>
      <c r="AF158" s="25"/>
      <c r="AG158" s="26"/>
      <c r="AH158" s="27"/>
      <c r="AI158" s="43"/>
      <c r="AJ158" s="43"/>
      <c r="AK158" s="43"/>
      <c r="AL158" s="43"/>
      <c r="AM158" s="43"/>
      <c r="AN158" s="43"/>
    </row>
    <row r="159" spans="1:40" s="9" customFormat="1" ht="39.950000000000003" customHeight="1">
      <c r="A159" s="23"/>
      <c r="B159" s="51"/>
      <c r="C159" s="24"/>
      <c r="D159" s="24"/>
      <c r="E159" s="24"/>
      <c r="F159" s="99"/>
      <c r="G159" s="100"/>
      <c r="H159" s="103"/>
      <c r="I159" s="101"/>
      <c r="J159" s="102"/>
      <c r="K159" s="102"/>
      <c r="L159" s="102"/>
      <c r="M159" s="102"/>
      <c r="N159" s="102"/>
      <c r="O159" s="111"/>
      <c r="P159" s="316" t="s">
        <v>35</v>
      </c>
      <c r="Q159" s="317"/>
      <c r="R159" s="87"/>
      <c r="S159" s="318" t="s">
        <v>43</v>
      </c>
      <c r="T159" s="318"/>
      <c r="U159" s="318"/>
      <c r="V159" s="318"/>
      <c r="W159" s="318"/>
      <c r="X159" s="318"/>
      <c r="Y159" s="327"/>
      <c r="Z159" s="24"/>
      <c r="AA159" s="24"/>
      <c r="AB159" s="24"/>
      <c r="AC159" s="24"/>
      <c r="AD159" s="24"/>
      <c r="AE159" s="25"/>
      <c r="AF159" s="25"/>
      <c r="AG159" s="26"/>
      <c r="AH159" s="27"/>
      <c r="AI159" s="43"/>
      <c r="AJ159" s="43"/>
      <c r="AK159" s="43"/>
      <c r="AL159" s="43"/>
      <c r="AM159" s="43"/>
      <c r="AN159" s="43"/>
    </row>
    <row r="160" spans="1:40" s="9" customFormat="1" ht="39.950000000000003" customHeight="1">
      <c r="A160" s="23"/>
      <c r="B160" s="51"/>
      <c r="C160" s="24"/>
      <c r="D160" s="24"/>
      <c r="E160" s="24"/>
      <c r="F160" s="89"/>
      <c r="G160" s="77"/>
      <c r="H160" s="77"/>
      <c r="I160" s="77"/>
      <c r="J160" s="77"/>
      <c r="K160" s="77"/>
      <c r="L160" s="76"/>
      <c r="M160" s="76"/>
      <c r="N160" s="77"/>
      <c r="O160" s="112"/>
      <c r="P160" s="322" t="s">
        <v>17</v>
      </c>
      <c r="Q160" s="323"/>
      <c r="R160" s="78" t="s">
        <v>11</v>
      </c>
      <c r="S160" s="324" t="s">
        <v>57</v>
      </c>
      <c r="T160" s="324"/>
      <c r="U160" s="324"/>
      <c r="V160" s="324"/>
      <c r="W160" s="324"/>
      <c r="X160" s="324"/>
      <c r="Y160" s="325"/>
      <c r="Z160" s="24"/>
      <c r="AA160" s="24"/>
      <c r="AB160" s="24"/>
      <c r="AC160" s="24"/>
      <c r="AD160" s="24"/>
      <c r="AE160" s="25"/>
      <c r="AF160" s="25"/>
      <c r="AG160" s="26"/>
      <c r="AH160" s="27"/>
      <c r="AI160" s="43"/>
      <c r="AJ160" s="43"/>
      <c r="AK160" s="43"/>
      <c r="AL160" s="43"/>
      <c r="AM160" s="43"/>
      <c r="AN160" s="43"/>
    </row>
    <row r="161" spans="1:40" s="9" customFormat="1" ht="39.950000000000003" customHeight="1">
      <c r="A161" s="23"/>
      <c r="B161" s="51"/>
      <c r="C161" s="24"/>
      <c r="D161" s="24"/>
      <c r="E161" s="24"/>
      <c r="F161" s="85"/>
      <c r="G161" s="85"/>
      <c r="H161" s="85"/>
      <c r="I161" s="85"/>
      <c r="J161" s="85"/>
      <c r="K161" s="85"/>
      <c r="L161" s="84"/>
      <c r="M161" s="84"/>
      <c r="N161" s="85"/>
      <c r="O161" s="82"/>
      <c r="P161" s="86"/>
      <c r="Q161" s="86"/>
      <c r="R161" s="87"/>
      <c r="S161" s="90"/>
      <c r="T161" s="90"/>
      <c r="U161" s="90"/>
      <c r="V161" s="90"/>
      <c r="W161" s="90"/>
      <c r="X161" s="90"/>
      <c r="Y161" s="90"/>
      <c r="Z161" s="24"/>
      <c r="AA161" s="24"/>
      <c r="AB161" s="24"/>
      <c r="AC161" s="24"/>
      <c r="AD161" s="24"/>
      <c r="AE161" s="25"/>
      <c r="AF161" s="25"/>
      <c r="AG161" s="26"/>
      <c r="AH161" s="27"/>
      <c r="AI161" s="43"/>
      <c r="AJ161" s="43"/>
      <c r="AK161" s="43"/>
      <c r="AL161" s="43"/>
      <c r="AM161" s="43"/>
      <c r="AN161" s="43"/>
    </row>
    <row r="162" spans="1:40" s="9" customFormat="1" ht="39.950000000000003" customHeight="1">
      <c r="A162" s="23"/>
      <c r="B162" s="51"/>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5"/>
      <c r="AF162" s="25"/>
      <c r="AG162" s="26"/>
      <c r="AH162" s="27"/>
      <c r="AI162" s="44"/>
      <c r="AJ162" s="44"/>
      <c r="AK162" s="44"/>
      <c r="AL162" s="44"/>
      <c r="AM162" s="43"/>
      <c r="AN162" s="43"/>
    </row>
    <row r="163" spans="1:40" s="9" customFormat="1" ht="39.950000000000003" customHeight="1">
      <c r="A163" s="23"/>
      <c r="B163" s="51"/>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c r="AD163" s="24"/>
      <c r="AE163" s="25"/>
      <c r="AF163" s="25"/>
      <c r="AG163" s="26"/>
      <c r="AH163" s="27"/>
      <c r="AI163" s="44"/>
      <c r="AJ163" s="44"/>
      <c r="AK163" s="44"/>
      <c r="AL163" s="44"/>
      <c r="AM163" s="43"/>
      <c r="AN163" s="43"/>
    </row>
    <row r="164" spans="1:40" s="9" customFormat="1" ht="17.25" customHeight="1">
      <c r="A164" s="23"/>
      <c r="B164" s="51"/>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5"/>
      <c r="AF164" s="25"/>
      <c r="AG164" s="26"/>
      <c r="AH164" s="27"/>
      <c r="AI164" s="44"/>
      <c r="AJ164" s="44"/>
      <c r="AK164" s="44"/>
      <c r="AL164" s="44"/>
      <c r="AM164" s="43"/>
      <c r="AN164" s="43"/>
    </row>
    <row r="165" spans="1:40" s="9" customFormat="1" ht="17.25" customHeight="1">
      <c r="A165" s="23"/>
      <c r="B165" s="51"/>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c r="AD165" s="24"/>
      <c r="AE165" s="25"/>
      <c r="AF165" s="25"/>
      <c r="AG165" s="26"/>
      <c r="AH165" s="27"/>
      <c r="AI165" s="44"/>
      <c r="AJ165" s="44"/>
      <c r="AK165" s="44"/>
      <c r="AL165" s="44"/>
      <c r="AM165" s="43"/>
      <c r="AN165" s="43"/>
    </row>
    <row r="166" spans="1:40" s="9" customFormat="1" ht="17.25" customHeight="1">
      <c r="A166" s="23"/>
      <c r="B166" s="51"/>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E166" s="25"/>
      <c r="AF166" s="25"/>
      <c r="AG166" s="26"/>
      <c r="AH166" s="27"/>
      <c r="AI166" s="43"/>
      <c r="AJ166" s="43"/>
      <c r="AK166" s="43"/>
      <c r="AL166" s="43"/>
      <c r="AM166" s="43"/>
      <c r="AN166" s="43"/>
    </row>
    <row r="167" spans="1:40" s="9" customFormat="1" ht="17.25" customHeight="1">
      <c r="A167" s="23"/>
      <c r="B167" s="51"/>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c r="AD167" s="24"/>
      <c r="AE167" s="25"/>
      <c r="AF167" s="25"/>
      <c r="AG167" s="26"/>
      <c r="AH167" s="27"/>
      <c r="AI167" s="43"/>
      <c r="AJ167" s="43"/>
      <c r="AK167" s="43"/>
      <c r="AL167" s="43"/>
      <c r="AM167" s="43"/>
      <c r="AN167" s="43"/>
    </row>
    <row r="168" spans="1:40" s="9" customFormat="1" ht="17.25" customHeight="1">
      <c r="A168" s="23"/>
      <c r="B168" s="51"/>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5"/>
      <c r="AF168" s="25"/>
      <c r="AG168" s="26"/>
      <c r="AH168" s="27"/>
      <c r="AI168" s="43"/>
      <c r="AJ168" s="43"/>
      <c r="AK168" s="43"/>
      <c r="AL168" s="43"/>
      <c r="AM168" s="43"/>
      <c r="AN168" s="43"/>
    </row>
    <row r="169" spans="1:40" s="9" customFormat="1" ht="17.25" customHeight="1">
      <c r="A169" s="23"/>
      <c r="B169" s="51"/>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5"/>
      <c r="AF169" s="25"/>
      <c r="AG169" s="26"/>
      <c r="AH169" s="27"/>
      <c r="AI169" s="43"/>
      <c r="AJ169" s="43"/>
      <c r="AK169" s="43"/>
      <c r="AL169" s="43"/>
      <c r="AM169" s="43"/>
      <c r="AN169" s="43"/>
    </row>
    <row r="170" spans="1:40" s="9" customFormat="1" ht="17.25" customHeight="1">
      <c r="A170" s="23"/>
      <c r="B170" s="51"/>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c r="AD170" s="24"/>
      <c r="AE170" s="25"/>
      <c r="AF170" s="25"/>
      <c r="AG170" s="26"/>
      <c r="AH170" s="27"/>
      <c r="AI170" s="43"/>
      <c r="AJ170" s="43"/>
      <c r="AK170" s="43"/>
      <c r="AL170" s="43"/>
      <c r="AM170" s="43"/>
      <c r="AN170" s="43"/>
    </row>
    <row r="171" spans="1:40" s="9" customFormat="1" ht="9">
      <c r="A171" s="23"/>
      <c r="B171" s="51"/>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5"/>
      <c r="AF171" s="25"/>
      <c r="AG171" s="26"/>
      <c r="AH171" s="27"/>
      <c r="AI171" s="43"/>
      <c r="AJ171" s="43"/>
      <c r="AK171" s="43"/>
      <c r="AL171" s="43"/>
      <c r="AM171" s="43"/>
      <c r="AN171" s="43"/>
    </row>
    <row r="172" spans="1:40">
      <c r="A172" s="17"/>
      <c r="B172" s="51"/>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E172" s="19"/>
      <c r="AF172" s="19"/>
      <c r="AG172" s="18"/>
      <c r="AH172" s="20"/>
    </row>
    <row r="173" spans="1:40">
      <c r="A173" s="17"/>
      <c r="B173" s="51"/>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19"/>
      <c r="AF173" s="19"/>
      <c r="AG173" s="18"/>
      <c r="AH173" s="20"/>
    </row>
    <row r="174" spans="1:40">
      <c r="A174" s="17"/>
      <c r="B174" s="51"/>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c r="AD174" s="24"/>
      <c r="AE174" s="19"/>
      <c r="AF174" s="19"/>
      <c r="AG174" s="18"/>
      <c r="AH174" s="20"/>
    </row>
    <row r="175" spans="1:40">
      <c r="A175" s="17"/>
      <c r="B175" s="51"/>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19"/>
      <c r="AF175" s="19"/>
      <c r="AG175" s="18"/>
      <c r="AH175" s="20"/>
    </row>
    <row r="176" spans="1:40">
      <c r="A176" s="17"/>
      <c r="B176" s="51"/>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19"/>
      <c r="AF176" s="19"/>
      <c r="AG176" s="18"/>
      <c r="AH176" s="20"/>
    </row>
    <row r="177" spans="1:34">
      <c r="A177" s="17"/>
      <c r="B177" s="51"/>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c r="AD177" s="24"/>
      <c r="AE177" s="19"/>
      <c r="AF177" s="19"/>
      <c r="AG177" s="18"/>
      <c r="AH177" s="20"/>
    </row>
    <row r="178" spans="1:34">
      <c r="A178" s="17"/>
      <c r="B178" s="51"/>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19"/>
      <c r="AF178" s="19"/>
      <c r="AG178" s="18"/>
      <c r="AH178" s="20"/>
    </row>
    <row r="179" spans="1:34">
      <c r="A179" s="17"/>
      <c r="B179" s="51"/>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c r="AD179" s="24"/>
      <c r="AE179" s="19"/>
      <c r="AF179" s="19"/>
      <c r="AG179" s="18"/>
      <c r="AH179" s="20"/>
    </row>
    <row r="180" spans="1:34">
      <c r="A180" s="17"/>
      <c r="B180" s="51"/>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19"/>
      <c r="AF180" s="19"/>
      <c r="AG180" s="18"/>
      <c r="AH180" s="20"/>
    </row>
    <row r="181" spans="1:34">
      <c r="A181" s="17"/>
      <c r="B181" s="51"/>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19"/>
      <c r="AF181" s="19"/>
      <c r="AG181" s="18"/>
      <c r="AH181" s="20"/>
    </row>
    <row r="182" spans="1:34">
      <c r="A182" s="17"/>
      <c r="B182" s="51"/>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19"/>
      <c r="AF182" s="19"/>
      <c r="AG182" s="18"/>
      <c r="AH182" s="20"/>
    </row>
    <row r="183" spans="1:34">
      <c r="A183" s="17"/>
      <c r="B183" s="51"/>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c r="AD183" s="24"/>
      <c r="AE183" s="19"/>
      <c r="AF183" s="19"/>
      <c r="AG183" s="18"/>
      <c r="AH183" s="20"/>
    </row>
    <row r="184" spans="1:34">
      <c r="A184" s="17"/>
      <c r="B184" s="51"/>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19"/>
      <c r="AF184" s="19"/>
      <c r="AG184" s="18"/>
      <c r="AH184" s="20"/>
    </row>
    <row r="185" spans="1:34">
      <c r="A185" s="17"/>
      <c r="B185" s="51"/>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c r="AD185" s="24"/>
      <c r="AE185" s="19"/>
      <c r="AF185" s="19"/>
      <c r="AG185" s="18"/>
      <c r="AH185" s="20"/>
    </row>
    <row r="186" spans="1:34">
      <c r="A186" s="17"/>
      <c r="B186" s="51"/>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19"/>
      <c r="AF186" s="19"/>
      <c r="AG186" s="18"/>
      <c r="AH186" s="20"/>
    </row>
    <row r="187" spans="1:34">
      <c r="A187" s="17"/>
      <c r="B187" s="51"/>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c r="AD187" s="24"/>
      <c r="AE187" s="19"/>
      <c r="AF187" s="19"/>
      <c r="AG187" s="18"/>
      <c r="AH187" s="20"/>
    </row>
    <row r="188" spans="1:34">
      <c r="A188" s="17"/>
      <c r="B188" s="51"/>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c r="AD188" s="24"/>
      <c r="AE188" s="19"/>
      <c r="AF188" s="19"/>
      <c r="AG188" s="18"/>
      <c r="AH188" s="20"/>
    </row>
    <row r="189" spans="1:34">
      <c r="A189" s="17"/>
      <c r="B189" s="51"/>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c r="AD189" s="24"/>
      <c r="AE189" s="19"/>
      <c r="AF189" s="19"/>
      <c r="AG189" s="18"/>
      <c r="AH189" s="20"/>
    </row>
    <row r="190" spans="1:34">
      <c r="A190" s="45"/>
      <c r="B190" s="52"/>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7"/>
      <c r="AF190" s="47"/>
      <c r="AG190" s="48"/>
      <c r="AH190" s="49"/>
    </row>
    <row r="191" spans="1:3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c r="AD191" s="24"/>
    </row>
    <row r="192" spans="1:3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c r="AD192" s="24"/>
    </row>
    <row r="193" spans="3:30" ht="11.25" customHeight="1">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c r="AD193" s="24"/>
    </row>
    <row r="194" spans="3:30">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c r="AD194" s="24"/>
    </row>
    <row r="195" spans="3:30">
      <c r="C195" s="24"/>
    </row>
    <row r="196" spans="3:30">
      <c r="C196" s="24"/>
    </row>
    <row r="197" spans="3:30">
      <c r="C197" s="24"/>
    </row>
  </sheetData>
  <sheetProtection sheet="1" objects="1" scenarios="1"/>
  <dataConsolidate/>
  <mergeCells count="260">
    <mergeCell ref="E8:G8"/>
    <mergeCell ref="AG13:AH13"/>
    <mergeCell ref="AE21:AF21"/>
    <mergeCell ref="AG21:AH21"/>
    <mergeCell ref="AE13:AF13"/>
    <mergeCell ref="AE38:AF38"/>
    <mergeCell ref="AG38:AH38"/>
    <mergeCell ref="AE133:AF133"/>
    <mergeCell ref="AK37:AL37"/>
    <mergeCell ref="AK43:AL43"/>
    <mergeCell ref="AK31:AL31"/>
    <mergeCell ref="AK49:AL49"/>
    <mergeCell ref="AK55:AL55"/>
    <mergeCell ref="AK61:AL61"/>
    <mergeCell ref="AK67:AL67"/>
    <mergeCell ref="AK73:AL73"/>
    <mergeCell ref="AE54:AF54"/>
    <mergeCell ref="AE48:AF48"/>
    <mergeCell ref="AE72:AF72"/>
    <mergeCell ref="AG72:AH72"/>
    <mergeCell ref="AE66:AF66"/>
    <mergeCell ref="AE32:AF32"/>
    <mergeCell ref="AG32:AH32"/>
    <mergeCell ref="AE37:AF37"/>
    <mergeCell ref="AK7:AL7"/>
    <mergeCell ref="AE24:AF24"/>
    <mergeCell ref="AE11:AF12"/>
    <mergeCell ref="AG11:AH12"/>
    <mergeCell ref="AE18:AF18"/>
    <mergeCell ref="AK19:AL19"/>
    <mergeCell ref="AK25:AL25"/>
    <mergeCell ref="AK14:AL14"/>
    <mergeCell ref="AG9:AH9"/>
    <mergeCell ref="AE8:AF8"/>
    <mergeCell ref="AG8:AH8"/>
    <mergeCell ref="A43:A48"/>
    <mergeCell ref="A13:A18"/>
    <mergeCell ref="A19:A24"/>
    <mergeCell ref="A25:A30"/>
    <mergeCell ref="A31:A36"/>
    <mergeCell ref="A37:A42"/>
    <mergeCell ref="AE42:AF42"/>
    <mergeCell ref="AE31:AF31"/>
    <mergeCell ref="AG31:AH31"/>
    <mergeCell ref="AE19:AF19"/>
    <mergeCell ref="AG19:AH19"/>
    <mergeCell ref="AE20:AF20"/>
    <mergeCell ref="AG20:AH20"/>
    <mergeCell ref="AE25:AF25"/>
    <mergeCell ref="AG25:AH25"/>
    <mergeCell ref="AG33:AH33"/>
    <mergeCell ref="AG39:AH39"/>
    <mergeCell ref="AG45:AH45"/>
    <mergeCell ref="AG37:AH37"/>
    <mergeCell ref="AG15:AH15"/>
    <mergeCell ref="AE44:AF44"/>
    <mergeCell ref="AG44:AH44"/>
    <mergeCell ref="Q11:W11"/>
    <mergeCell ref="AE36:AF36"/>
    <mergeCell ref="X11:AD11"/>
    <mergeCell ref="AE30:AF30"/>
    <mergeCell ref="A11:A12"/>
    <mergeCell ref="AE14:AF14"/>
    <mergeCell ref="A79:A84"/>
    <mergeCell ref="C11:I11"/>
    <mergeCell ref="J11:P11"/>
    <mergeCell ref="A55:A60"/>
    <mergeCell ref="A61:A66"/>
    <mergeCell ref="A67:A72"/>
    <mergeCell ref="A73:A78"/>
    <mergeCell ref="AE27:AF27"/>
    <mergeCell ref="AE67:AF67"/>
    <mergeCell ref="AE80:AF80"/>
    <mergeCell ref="AE26:AF26"/>
    <mergeCell ref="AE15:AF15"/>
    <mergeCell ref="A49:A54"/>
    <mergeCell ref="AE55:AF55"/>
    <mergeCell ref="AE33:AF33"/>
    <mergeCell ref="AE39:AF39"/>
    <mergeCell ref="AE45:AF45"/>
    <mergeCell ref="AE51:AF51"/>
    <mergeCell ref="A103:A108"/>
    <mergeCell ref="AE108:AF108"/>
    <mergeCell ref="AE96:AF96"/>
    <mergeCell ref="AG96:AH96"/>
    <mergeCell ref="AE90:AF90"/>
    <mergeCell ref="AG90:AH90"/>
    <mergeCell ref="AE84:AF84"/>
    <mergeCell ref="AG84:AH84"/>
    <mergeCell ref="AE78:AF78"/>
    <mergeCell ref="A97:A102"/>
    <mergeCell ref="AE102:AF102"/>
    <mergeCell ref="A85:A90"/>
    <mergeCell ref="A91:A96"/>
    <mergeCell ref="AE93:AF93"/>
    <mergeCell ref="AE97:AF97"/>
    <mergeCell ref="AE98:AF98"/>
    <mergeCell ref="AE81:AF81"/>
    <mergeCell ref="AE85:AF85"/>
    <mergeCell ref="AE86:AF86"/>
    <mergeCell ref="AE87:AF87"/>
    <mergeCell ref="AG87:AH87"/>
    <mergeCell ref="AE79:AF79"/>
    <mergeCell ref="AG79:AH79"/>
    <mergeCell ref="AG102:AH102"/>
    <mergeCell ref="A121:A126"/>
    <mergeCell ref="AE126:AF126"/>
    <mergeCell ref="A127:A132"/>
    <mergeCell ref="AE132:AF132"/>
    <mergeCell ref="A109:A114"/>
    <mergeCell ref="AE114:AF114"/>
    <mergeCell ref="A115:A120"/>
    <mergeCell ref="AE120:AF120"/>
    <mergeCell ref="AE110:AF110"/>
    <mergeCell ref="AE121:AF121"/>
    <mergeCell ref="AE128:AF128"/>
    <mergeCell ref="AE117:AF117"/>
    <mergeCell ref="AK127:AL127"/>
    <mergeCell ref="AG133:AH133"/>
    <mergeCell ref="AG132:AH132"/>
    <mergeCell ref="AK79:AL79"/>
    <mergeCell ref="AK85:AL85"/>
    <mergeCell ref="AK91:AL91"/>
    <mergeCell ref="AK97:AL97"/>
    <mergeCell ref="AK103:AL103"/>
    <mergeCell ref="AK111:AL111"/>
    <mergeCell ref="AK109:AL109"/>
    <mergeCell ref="AK115:AL115"/>
    <mergeCell ref="AK121:AL121"/>
    <mergeCell ref="AG126:AH126"/>
    <mergeCell ref="AG120:AH120"/>
    <mergeCell ref="AG114:AH114"/>
    <mergeCell ref="AG108:AH108"/>
    <mergeCell ref="AG92:AH92"/>
    <mergeCell ref="AG93:AH93"/>
    <mergeCell ref="AG97:AH97"/>
    <mergeCell ref="AG98:AH98"/>
    <mergeCell ref="AG80:AH80"/>
    <mergeCell ref="AG81:AH81"/>
    <mergeCell ref="AG85:AH85"/>
    <mergeCell ref="AG86:AH86"/>
    <mergeCell ref="AG66:AH66"/>
    <mergeCell ref="AG36:AH36"/>
    <mergeCell ref="AG30:AH30"/>
    <mergeCell ref="AG18:AH18"/>
    <mergeCell ref="AG24:AH24"/>
    <mergeCell ref="AE9:AF9"/>
    <mergeCell ref="AG14:AH14"/>
    <mergeCell ref="AE60:AF60"/>
    <mergeCell ref="AG60:AH60"/>
    <mergeCell ref="AG48:AH48"/>
    <mergeCell ref="AG54:AH54"/>
    <mergeCell ref="AE61:AF61"/>
    <mergeCell ref="AG61:AH61"/>
    <mergeCell ref="AE62:AF62"/>
    <mergeCell ref="AG62:AH62"/>
    <mergeCell ref="AG26:AH26"/>
    <mergeCell ref="AG27:AH27"/>
    <mergeCell ref="AE49:AF49"/>
    <mergeCell ref="AG49:AH49"/>
    <mergeCell ref="AE50:AF50"/>
    <mergeCell ref="AG50:AH50"/>
    <mergeCell ref="AG63:AH63"/>
    <mergeCell ref="AE43:AF43"/>
    <mergeCell ref="AG43:AH43"/>
    <mergeCell ref="A1:AH1"/>
    <mergeCell ref="AC2:AH2"/>
    <mergeCell ref="AC3:AH3"/>
    <mergeCell ref="H7:L7"/>
    <mergeCell ref="N7:P7"/>
    <mergeCell ref="N6:U6"/>
    <mergeCell ref="E6:L6"/>
    <mergeCell ref="AE6:AF6"/>
    <mergeCell ref="AG6:AH6"/>
    <mergeCell ref="AE5:AF5"/>
    <mergeCell ref="AG5:AH5"/>
    <mergeCell ref="B6:D6"/>
    <mergeCell ref="B5:D5"/>
    <mergeCell ref="B4:Z4"/>
    <mergeCell ref="E5:W5"/>
    <mergeCell ref="AE7:AF7"/>
    <mergeCell ref="AG7:AH7"/>
    <mergeCell ref="Q7:U7"/>
    <mergeCell ref="E7:G7"/>
    <mergeCell ref="AB6:AD6"/>
    <mergeCell ref="AB7:AD7"/>
    <mergeCell ref="P158:Q158"/>
    <mergeCell ref="P160:Q160"/>
    <mergeCell ref="S160:Y160"/>
    <mergeCell ref="S158:Y158"/>
    <mergeCell ref="S159:Y159"/>
    <mergeCell ref="P159:Q159"/>
    <mergeCell ref="F154:Y154"/>
    <mergeCell ref="F155:O155"/>
    <mergeCell ref="P155:X155"/>
    <mergeCell ref="F156:G156"/>
    <mergeCell ref="I156:N156"/>
    <mergeCell ref="P156:Q156"/>
    <mergeCell ref="S156:Y156"/>
    <mergeCell ref="P157:Q157"/>
    <mergeCell ref="S157:Y157"/>
    <mergeCell ref="AG55:AH55"/>
    <mergeCell ref="AE56:AF56"/>
    <mergeCell ref="AG56:AH56"/>
    <mergeCell ref="F157:G157"/>
    <mergeCell ref="I157:N157"/>
    <mergeCell ref="M135:N135"/>
    <mergeCell ref="I135:J135"/>
    <mergeCell ref="P135:U135"/>
    <mergeCell ref="AG68:AH68"/>
    <mergeCell ref="AE69:AF69"/>
    <mergeCell ref="AG69:AH69"/>
    <mergeCell ref="AE73:AF73"/>
    <mergeCell ref="AG73:AH73"/>
    <mergeCell ref="AE74:AF74"/>
    <mergeCell ref="AG74:AH74"/>
    <mergeCell ref="AG128:AH128"/>
    <mergeCell ref="AE129:AF129"/>
    <mergeCell ref="AG129:AH129"/>
    <mergeCell ref="AG110:AH110"/>
    <mergeCell ref="AG91:AH91"/>
    <mergeCell ref="AE92:AF92"/>
    <mergeCell ref="AG67:AH67"/>
    <mergeCell ref="AE68:AF68"/>
    <mergeCell ref="AG116:AH116"/>
    <mergeCell ref="B8:D8"/>
    <mergeCell ref="AB9:AD9"/>
    <mergeCell ref="AB8:AD8"/>
    <mergeCell ref="AG121:AH121"/>
    <mergeCell ref="AE122:AF122"/>
    <mergeCell ref="AG122:AH122"/>
    <mergeCell ref="AE123:AF123"/>
    <mergeCell ref="AG123:AH123"/>
    <mergeCell ref="AE99:AF99"/>
    <mergeCell ref="AG99:AH99"/>
    <mergeCell ref="AE103:AF103"/>
    <mergeCell ref="AG103:AH103"/>
    <mergeCell ref="AE104:AF104"/>
    <mergeCell ref="AG104:AH104"/>
    <mergeCell ref="AE105:AF105"/>
    <mergeCell ref="AG105:AH105"/>
    <mergeCell ref="AE109:AF109"/>
    <mergeCell ref="AG109:AH109"/>
    <mergeCell ref="AE91:AF91"/>
    <mergeCell ref="AG51:AH51"/>
    <mergeCell ref="AE57:AF57"/>
    <mergeCell ref="AG57:AH57"/>
    <mergeCell ref="AG42:AH42"/>
    <mergeCell ref="AE63:AF63"/>
    <mergeCell ref="AE75:AF75"/>
    <mergeCell ref="AG75:AH75"/>
    <mergeCell ref="AG117:AH117"/>
    <mergeCell ref="AE127:AF127"/>
    <mergeCell ref="AG127:AH127"/>
    <mergeCell ref="AE111:AF111"/>
    <mergeCell ref="AG111:AH111"/>
    <mergeCell ref="AE115:AF115"/>
    <mergeCell ref="AG115:AH115"/>
    <mergeCell ref="AE116:AF116"/>
    <mergeCell ref="AG78:AH78"/>
  </mergeCells>
  <phoneticPr fontId="1"/>
  <conditionalFormatting sqref="C18:E18 R18 Y18 I18 K18 G60:K60 N60:R60 O30:Q30 C78:AD78 C84:AD84 C90:AD90 C96:AD96 C102:AD102 C108:AD108 C114:AD114 C120:AD120 C126:AD126 C132:AD132 K72:AD72 U60:Y60">
    <cfRule type="containsText" dxfId="2804" priority="15342" operator="containsText" text="正">
      <formula>NOT(ISERROR(SEARCH("正",C18)))</formula>
    </cfRule>
    <cfRule type="containsText" dxfId="2803" priority="15343" operator="containsText" text="盆">
      <formula>NOT(ISERROR(SEARCH("盆",C18)))</formula>
    </cfRule>
    <cfRule type="containsText" dxfId="2802" priority="15344" operator="containsText" text="Ｇ">
      <formula>NOT(ISERROR(SEARCH("Ｇ",C18)))</formula>
    </cfRule>
  </conditionalFormatting>
  <conditionalFormatting sqref="C42:D42">
    <cfRule type="containsText" dxfId="2801" priority="15282" operator="containsText" text="正">
      <formula>NOT(ISERROR(SEARCH("正",C42)))</formula>
    </cfRule>
    <cfRule type="containsText" dxfId="2800" priority="15283" operator="containsText" text="盆">
      <formula>NOT(ISERROR(SEARCH("盆",C42)))</formula>
    </cfRule>
    <cfRule type="containsText" dxfId="2799" priority="15284" operator="containsText" text="Ｇ">
      <formula>NOT(ISERROR(SEARCH("Ｇ",C42)))</formula>
    </cfRule>
  </conditionalFormatting>
  <conditionalFormatting sqref="E48:G48 L48:N48 S48:U48 Z48:AB48">
    <cfRule type="containsText" dxfId="2798" priority="15267" operator="containsText" text="正">
      <formula>NOT(ISERROR(SEARCH("正",E48)))</formula>
    </cfRule>
    <cfRule type="containsText" dxfId="2797" priority="15268" operator="containsText" text="盆">
      <formula>NOT(ISERROR(SEARCH("盆",E48)))</formula>
    </cfRule>
    <cfRule type="containsText" dxfId="2796" priority="15269" operator="containsText" text="Ｇ">
      <formula>NOT(ISERROR(SEARCH("Ｇ",E48)))</formula>
    </cfRule>
  </conditionalFormatting>
  <conditionalFormatting sqref="C54:G54 J54:N54 Q54:U54 X54:AB54">
    <cfRule type="containsText" dxfId="2795" priority="15252" operator="containsText" text="正">
      <formula>NOT(ISERROR(SEARCH("正",C54)))</formula>
    </cfRule>
    <cfRule type="containsText" dxfId="2794" priority="15253" operator="containsText" text="盆">
      <formula>NOT(ISERROR(SEARCH("盆",C54)))</formula>
    </cfRule>
    <cfRule type="containsText" dxfId="2793" priority="15254" operator="containsText" text="Ｇ">
      <formula>NOT(ISERROR(SEARCH("Ｇ",C54)))</formula>
    </cfRule>
  </conditionalFormatting>
  <conditionalFormatting sqref="C60 AB60:AD60">
    <cfRule type="containsText" dxfId="2792" priority="15229" operator="containsText" text="正">
      <formula>NOT(ISERROR(SEARCH("正",C60)))</formula>
    </cfRule>
    <cfRule type="containsText" dxfId="2791" priority="15230" operator="containsText" text="盆">
      <formula>NOT(ISERROR(SEARCH("盆",C60)))</formula>
    </cfRule>
    <cfRule type="containsText" dxfId="2790" priority="15231" operator="containsText" text="Ｇ">
      <formula>NOT(ISERROR(SEARCH("Ｇ",C60)))</formula>
    </cfRule>
  </conditionalFormatting>
  <conditionalFormatting sqref="D66:H66 K66:O66 R66:V66 Y66:AD66">
    <cfRule type="containsText" dxfId="2789" priority="15170" operator="containsText" text="正">
      <formula>NOT(ISERROR(SEARCH("正",D66)))</formula>
    </cfRule>
    <cfRule type="containsText" dxfId="2788" priority="15171" operator="containsText" text="盆">
      <formula>NOT(ISERROR(SEARCH("盆",D66)))</formula>
    </cfRule>
    <cfRule type="containsText" dxfId="2787" priority="15172" operator="containsText" text="Ｇ">
      <formula>NOT(ISERROR(SEARCH("Ｇ",D66)))</formula>
    </cfRule>
  </conditionalFormatting>
  <conditionalFormatting sqref="D72:H72">
    <cfRule type="containsText" dxfId="2786" priority="15159" operator="containsText" text="正">
      <formula>NOT(ISERROR(SEARCH("正",D72)))</formula>
    </cfRule>
    <cfRule type="containsText" dxfId="2785" priority="15160" operator="containsText" text="盆">
      <formula>NOT(ISERROR(SEARCH("盆",D72)))</formula>
    </cfRule>
    <cfRule type="containsText" dxfId="2784" priority="15161" operator="containsText" text="Ｇ">
      <formula>NOT(ISERROR(SEARCH("Ｇ",D72)))</formula>
    </cfRule>
  </conditionalFormatting>
  <conditionalFormatting sqref="P12:Q12 C15:AD15 C27:AD27 C33:AD33 C39:AD39 C45:AD45 C51:AD51 C57:AD57 C63:AD63 C69:AD69 C75:AD75 C81:AD81 C87:AD87 C93:AD93 C99:AD99 C105:AD105 C111:AD111 C117:AD117 C123:AD123 C129:AD129 D21:AD21">
    <cfRule type="containsText" dxfId="2783" priority="14637" operator="containsText" text="日">
      <formula>NOT(ISERROR(SEARCH("日",C12)))</formula>
    </cfRule>
    <cfRule type="containsText" dxfId="2782" priority="14638" operator="containsText" text="土">
      <formula>NOT(ISERROR(SEARCH("土",C12)))</formula>
    </cfRule>
    <cfRule type="containsText" dxfId="2781" priority="14639" operator="containsText" text="日">
      <formula>NOT(ISERROR(SEARCH("日",C12)))</formula>
    </cfRule>
    <cfRule type="containsText" dxfId="2780" priority="14640" operator="containsText" text="土">
      <formula>NOT(ISERROR(SEARCH("土",C12)))</formula>
    </cfRule>
  </conditionalFormatting>
  <conditionalFormatting sqref="F30 M30">
    <cfRule type="containsText" dxfId="2779" priority="14146" operator="containsText" text="正">
      <formula>NOT(ISERROR(SEARCH("正",F30)))</formula>
    </cfRule>
    <cfRule type="containsText" dxfId="2778" priority="14147" operator="containsText" text="盆">
      <formula>NOT(ISERROR(SEARCH("盆",F30)))</formula>
    </cfRule>
    <cfRule type="containsText" dxfId="2777" priority="14148" operator="containsText" text="Ｇ">
      <formula>NOT(ISERROR(SEARCH("Ｇ",F30)))</formula>
    </cfRule>
  </conditionalFormatting>
  <conditionalFormatting sqref="F36:G36 M36:N36 T36:U36 AA36:AB36 Q36 X36">
    <cfRule type="containsText" dxfId="2776" priority="14124" operator="containsText" text="正">
      <formula>NOT(ISERROR(SEARCH("正",F36)))</formula>
    </cfRule>
    <cfRule type="containsText" dxfId="2775" priority="14125" operator="containsText" text="盆">
      <formula>NOT(ISERROR(SEARCH("盆",F36)))</formula>
    </cfRule>
    <cfRule type="containsText" dxfId="2774" priority="14126" operator="containsText" text="Ｇ">
      <formula>NOT(ISERROR(SEARCH("Ｇ",F36)))</formula>
    </cfRule>
  </conditionalFormatting>
  <conditionalFormatting sqref="E42 J42:L42 Q42:S42 X42:Z42">
    <cfRule type="containsText" dxfId="2773" priority="14102" operator="containsText" text="正">
      <formula>NOT(ISERROR(SEARCH("正",E42)))</formula>
    </cfRule>
    <cfRule type="containsText" dxfId="2772" priority="14103" operator="containsText" text="盆">
      <formula>NOT(ISERROR(SEARCH("盆",E42)))</formula>
    </cfRule>
    <cfRule type="containsText" dxfId="2771" priority="14104" operator="containsText" text="Ｇ">
      <formula>NOT(ISERROR(SEARCH("Ｇ",E42)))</formula>
    </cfRule>
  </conditionalFormatting>
  <conditionalFormatting sqref="G30:H30">
    <cfRule type="containsText" dxfId="2770" priority="13959" operator="containsText" text="正">
      <formula>NOT(ISERROR(SEARCH("正",G30)))</formula>
    </cfRule>
    <cfRule type="containsText" dxfId="2769" priority="13960" operator="containsText" text="盆">
      <formula>NOT(ISERROR(SEARCH("盆",G30)))</formula>
    </cfRule>
    <cfRule type="containsText" dxfId="2768" priority="13961" operator="containsText" text="Ｇ">
      <formula>NOT(ISERROR(SEARCH("Ｇ",G30)))</formula>
    </cfRule>
  </conditionalFormatting>
  <conditionalFormatting sqref="D36:E36">
    <cfRule type="containsText" dxfId="2767" priority="13915" operator="containsText" text="正">
      <formula>NOT(ISERROR(SEARCH("正",D36)))</formula>
    </cfRule>
    <cfRule type="containsText" dxfId="2766" priority="13916" operator="containsText" text="盆">
      <formula>NOT(ISERROR(SEARCH("盆",D36)))</formula>
    </cfRule>
    <cfRule type="containsText" dxfId="2765" priority="13917" operator="containsText" text="Ｇ">
      <formula>NOT(ISERROR(SEARCH("Ｇ",D36)))</formula>
    </cfRule>
  </conditionalFormatting>
  <conditionalFormatting sqref="K36:L36">
    <cfRule type="containsText" dxfId="2764" priority="13904" operator="containsText" text="正">
      <formula>NOT(ISERROR(SEARCH("正",K36)))</formula>
    </cfRule>
    <cfRule type="containsText" dxfId="2763" priority="13905" operator="containsText" text="盆">
      <formula>NOT(ISERROR(SEARCH("盆",K36)))</formula>
    </cfRule>
    <cfRule type="containsText" dxfId="2762" priority="13906" operator="containsText" text="Ｇ">
      <formula>NOT(ISERROR(SEARCH("Ｇ",K36)))</formula>
    </cfRule>
  </conditionalFormatting>
  <conditionalFormatting sqref="R36:S36">
    <cfRule type="containsText" dxfId="2761" priority="13893" operator="containsText" text="正">
      <formula>NOT(ISERROR(SEARCH("正",R36)))</formula>
    </cfRule>
    <cfRule type="containsText" dxfId="2760" priority="13894" operator="containsText" text="盆">
      <formula>NOT(ISERROR(SEARCH("盆",R36)))</formula>
    </cfRule>
    <cfRule type="containsText" dxfId="2759" priority="13895" operator="containsText" text="Ｇ">
      <formula>NOT(ISERROR(SEARCH("Ｇ",R36)))</formula>
    </cfRule>
  </conditionalFormatting>
  <conditionalFormatting sqref="Y36:Z36">
    <cfRule type="containsText" dxfId="2758" priority="13882" operator="containsText" text="正">
      <formula>NOT(ISERROR(SEARCH("正",Y36)))</formula>
    </cfRule>
    <cfRule type="containsText" dxfId="2757" priority="13883" operator="containsText" text="盆">
      <formula>NOT(ISERROR(SEARCH("盆",Y36)))</formula>
    </cfRule>
    <cfRule type="containsText" dxfId="2756" priority="13884" operator="containsText" text="Ｇ">
      <formula>NOT(ISERROR(SEARCH("Ｇ",Y36)))</formula>
    </cfRule>
  </conditionalFormatting>
  <conditionalFormatting sqref="T18">
    <cfRule type="containsText" dxfId="2755" priority="13300" operator="containsText" text="正">
      <formula>NOT(ISERROR(SEARCH("正",T18)))</formula>
    </cfRule>
    <cfRule type="containsText" dxfId="2754" priority="13301" operator="containsText" text="Ｇ">
      <formula>NOT(ISERROR(SEARCH("Ｇ",T18)))</formula>
    </cfRule>
    <cfRule type="containsText" dxfId="2753" priority="13302" operator="containsText" text="祝">
      <formula>NOT(ISERROR(SEARCH("祝",T18)))</formula>
    </cfRule>
    <cfRule type="containsText" dxfId="2752" priority="13303" operator="containsText" text="祝">
      <formula>NOT(ISERROR(SEARCH("祝",T18)))</formula>
    </cfRule>
    <cfRule type="containsText" dxfId="2751" priority="13304" operator="containsText" text="祝">
      <formula>NOT(ISERROR(SEARCH("祝",T18)))</formula>
    </cfRule>
    <cfRule type="containsText" dxfId="2750" priority="13305" operator="containsText" text="祝">
      <formula>NOT(ISERROR(SEARCH("祝",T18)))</formula>
    </cfRule>
    <cfRule type="containsText" dxfId="2749" priority="13306" operator="containsText" text="祝">
      <formula>NOT(ISERROR(SEARCH("祝",T18)))</formula>
    </cfRule>
    <cfRule type="containsText" dxfId="2748" priority="13307" operator="containsText" text="盆">
      <formula>NOT(ISERROR(SEARCH("盆",T18)))</formula>
    </cfRule>
  </conditionalFormatting>
  <conditionalFormatting sqref="AA18">
    <cfRule type="containsText" dxfId="2747" priority="13268" operator="containsText" text="正">
      <formula>NOT(ISERROR(SEARCH("正",AA18)))</formula>
    </cfRule>
    <cfRule type="containsText" dxfId="2746" priority="13269" operator="containsText" text="Ｇ">
      <formula>NOT(ISERROR(SEARCH("Ｇ",AA18)))</formula>
    </cfRule>
    <cfRule type="containsText" dxfId="2745" priority="13270" operator="containsText" text="祝">
      <formula>NOT(ISERROR(SEARCH("祝",AA18)))</formula>
    </cfRule>
    <cfRule type="containsText" dxfId="2744" priority="13271" operator="containsText" text="祝">
      <formula>NOT(ISERROR(SEARCH("祝",AA18)))</formula>
    </cfRule>
    <cfRule type="containsText" dxfId="2743" priority="13272" operator="containsText" text="祝">
      <formula>NOT(ISERROR(SEARCH("祝",AA18)))</formula>
    </cfRule>
    <cfRule type="containsText" dxfId="2742" priority="13273" operator="containsText" text="祝">
      <formula>NOT(ISERROR(SEARCH("祝",AA18)))</formula>
    </cfRule>
    <cfRule type="containsText" dxfId="2741" priority="13274" operator="containsText" text="祝">
      <formula>NOT(ISERROR(SEARCH("祝",AA18)))</formula>
    </cfRule>
    <cfRule type="containsText" dxfId="2740" priority="13275" operator="containsText" text="盆">
      <formula>NOT(ISERROR(SEARCH("盆",AA18)))</formula>
    </cfRule>
  </conditionalFormatting>
  <conditionalFormatting sqref="N30">
    <cfRule type="containsText" dxfId="2739" priority="12650" operator="containsText" text="正">
      <formula>NOT(ISERROR(SEARCH("正",N30)))</formula>
    </cfRule>
    <cfRule type="containsText" dxfId="2738" priority="12651" operator="containsText" text="盆">
      <formula>NOT(ISERROR(SEARCH("盆",N30)))</formula>
    </cfRule>
    <cfRule type="containsText" dxfId="2737" priority="12652" operator="containsText" text="Ｇ">
      <formula>NOT(ISERROR(SEARCH("Ｇ",N30)))</formula>
    </cfRule>
  </conditionalFormatting>
  <conditionalFormatting sqref="T30:V30 AA30:AC30">
    <cfRule type="containsText" dxfId="2736" priority="12606" operator="containsText" text="正">
      <formula>NOT(ISERROR(SEARCH("正",T30)))</formula>
    </cfRule>
    <cfRule type="containsText" dxfId="2735" priority="12607" operator="containsText" text="盆">
      <formula>NOT(ISERROR(SEARCH("盆",T30)))</formula>
    </cfRule>
    <cfRule type="containsText" dxfId="2734" priority="12608" operator="containsText" text="Ｇ">
      <formula>NOT(ISERROR(SEARCH("Ｇ",T30)))</formula>
    </cfRule>
  </conditionalFormatting>
  <conditionalFormatting sqref="I30">
    <cfRule type="containsText" dxfId="2733" priority="12574" operator="containsText" text="正">
      <formula>NOT(ISERROR(SEARCH("正",I30)))</formula>
    </cfRule>
    <cfRule type="containsText" dxfId="2732" priority="12575" operator="containsText" text="Ｇ">
      <formula>NOT(ISERROR(SEARCH("Ｇ",I30)))</formula>
    </cfRule>
    <cfRule type="containsText" dxfId="2731" priority="12576" operator="containsText" text="祝">
      <formula>NOT(ISERROR(SEARCH("祝",I30)))</formula>
    </cfRule>
    <cfRule type="containsText" dxfId="2730" priority="12577" operator="containsText" text="祝">
      <formula>NOT(ISERROR(SEARCH("祝",I30)))</formula>
    </cfRule>
    <cfRule type="containsText" dxfId="2729" priority="12578" operator="containsText" text="祝">
      <formula>NOT(ISERROR(SEARCH("祝",I30)))</formula>
    </cfRule>
    <cfRule type="containsText" dxfId="2728" priority="12579" operator="containsText" text="祝">
      <formula>NOT(ISERROR(SEARCH("祝",I30)))</formula>
    </cfRule>
    <cfRule type="containsText" dxfId="2727" priority="12580" operator="containsText" text="祝">
      <formula>NOT(ISERROR(SEARCH("祝",I30)))</formula>
    </cfRule>
    <cfRule type="containsText" dxfId="2726" priority="12581" operator="containsText" text="盆">
      <formula>NOT(ISERROR(SEARCH("盆",I30)))</formula>
    </cfRule>
  </conditionalFormatting>
  <conditionalFormatting sqref="W30">
    <cfRule type="containsText" dxfId="2725" priority="12510" operator="containsText" text="正">
      <formula>NOT(ISERROR(SEARCH("正",W30)))</formula>
    </cfRule>
    <cfRule type="containsText" dxfId="2724" priority="12511" operator="containsText" text="Ｇ">
      <formula>NOT(ISERROR(SEARCH("Ｇ",W30)))</formula>
    </cfRule>
    <cfRule type="containsText" dxfId="2723" priority="12512" operator="containsText" text="祝">
      <formula>NOT(ISERROR(SEARCH("祝",W30)))</formula>
    </cfRule>
    <cfRule type="containsText" dxfId="2722" priority="12513" operator="containsText" text="祝">
      <formula>NOT(ISERROR(SEARCH("祝",W30)))</formula>
    </cfRule>
    <cfRule type="containsText" dxfId="2721" priority="12514" operator="containsText" text="祝">
      <formula>NOT(ISERROR(SEARCH("祝",W30)))</formula>
    </cfRule>
    <cfRule type="containsText" dxfId="2720" priority="12515" operator="containsText" text="祝">
      <formula>NOT(ISERROR(SEARCH("祝",W30)))</formula>
    </cfRule>
    <cfRule type="containsText" dxfId="2719" priority="12516" operator="containsText" text="祝">
      <formula>NOT(ISERROR(SEARCH("祝",W30)))</formula>
    </cfRule>
    <cfRule type="containsText" dxfId="2718" priority="12517" operator="containsText" text="盆">
      <formula>NOT(ISERROR(SEARCH("盆",W30)))</formula>
    </cfRule>
  </conditionalFormatting>
  <conditionalFormatting sqref="AD30">
    <cfRule type="containsText" dxfId="2717" priority="12478" operator="containsText" text="正">
      <formula>NOT(ISERROR(SEARCH("正",AD30)))</formula>
    </cfRule>
    <cfRule type="containsText" dxfId="2716" priority="12479" operator="containsText" text="Ｇ">
      <formula>NOT(ISERROR(SEARCH("Ｇ",AD30)))</formula>
    </cfRule>
    <cfRule type="containsText" dxfId="2715" priority="12480" operator="containsText" text="祝">
      <formula>NOT(ISERROR(SEARCH("祝",AD30)))</formula>
    </cfRule>
    <cfRule type="containsText" dxfId="2714" priority="12481" operator="containsText" text="祝">
      <formula>NOT(ISERROR(SEARCH("祝",AD30)))</formula>
    </cfRule>
    <cfRule type="containsText" dxfId="2713" priority="12482" operator="containsText" text="祝">
      <formula>NOT(ISERROR(SEARCH("祝",AD30)))</formula>
    </cfRule>
    <cfRule type="containsText" dxfId="2712" priority="12483" operator="containsText" text="祝">
      <formula>NOT(ISERROR(SEARCH("祝",AD30)))</formula>
    </cfRule>
    <cfRule type="containsText" dxfId="2711" priority="12484" operator="containsText" text="祝">
      <formula>NOT(ISERROR(SEARCH("祝",AD30)))</formula>
    </cfRule>
    <cfRule type="containsText" dxfId="2710" priority="12485" operator="containsText" text="盆">
      <formula>NOT(ISERROR(SEARCH("盆",AD30)))</formula>
    </cfRule>
  </conditionalFormatting>
  <conditionalFormatting sqref="C36">
    <cfRule type="containsText" dxfId="2709" priority="12462" operator="containsText" text="正">
      <formula>NOT(ISERROR(SEARCH("正",C36)))</formula>
    </cfRule>
    <cfRule type="containsText" dxfId="2708" priority="12463" operator="containsText" text="Ｇ">
      <formula>NOT(ISERROR(SEARCH("Ｇ",C36)))</formula>
    </cfRule>
    <cfRule type="containsText" dxfId="2707" priority="12464" operator="containsText" text="祝">
      <formula>NOT(ISERROR(SEARCH("祝",C36)))</formula>
    </cfRule>
    <cfRule type="containsText" dxfId="2706" priority="12465" operator="containsText" text="祝">
      <formula>NOT(ISERROR(SEARCH("祝",C36)))</formula>
    </cfRule>
    <cfRule type="containsText" dxfId="2705" priority="12466" operator="containsText" text="祝">
      <formula>NOT(ISERROR(SEARCH("祝",C36)))</formula>
    </cfRule>
    <cfRule type="containsText" dxfId="2704" priority="12467" operator="containsText" text="祝">
      <formula>NOT(ISERROR(SEARCH("祝",C36)))</formula>
    </cfRule>
    <cfRule type="containsText" dxfId="2703" priority="12468" operator="containsText" text="祝">
      <formula>NOT(ISERROR(SEARCH("祝",C36)))</formula>
    </cfRule>
    <cfRule type="containsText" dxfId="2702" priority="12469" operator="containsText" text="盆">
      <formula>NOT(ISERROR(SEARCH("盆",C36)))</formula>
    </cfRule>
  </conditionalFormatting>
  <conditionalFormatting sqref="J36">
    <cfRule type="containsText" dxfId="2701" priority="12430" operator="containsText" text="正">
      <formula>NOT(ISERROR(SEARCH("正",J36)))</formula>
    </cfRule>
    <cfRule type="containsText" dxfId="2700" priority="12431" operator="containsText" text="Ｇ">
      <formula>NOT(ISERROR(SEARCH("Ｇ",J36)))</formula>
    </cfRule>
    <cfRule type="containsText" dxfId="2699" priority="12432" operator="containsText" text="祝">
      <formula>NOT(ISERROR(SEARCH("祝",J36)))</formula>
    </cfRule>
    <cfRule type="containsText" dxfId="2698" priority="12433" operator="containsText" text="祝">
      <formula>NOT(ISERROR(SEARCH("祝",J36)))</formula>
    </cfRule>
    <cfRule type="containsText" dxfId="2697" priority="12434" operator="containsText" text="祝">
      <formula>NOT(ISERROR(SEARCH("祝",J36)))</formula>
    </cfRule>
    <cfRule type="containsText" dxfId="2696" priority="12435" operator="containsText" text="祝">
      <formula>NOT(ISERROR(SEARCH("祝",J36)))</formula>
    </cfRule>
    <cfRule type="containsText" dxfId="2695" priority="12436" operator="containsText" text="祝">
      <formula>NOT(ISERROR(SEARCH("祝",J36)))</formula>
    </cfRule>
    <cfRule type="containsText" dxfId="2694" priority="12437" operator="containsText" text="盆">
      <formula>NOT(ISERROR(SEARCH("盆",J36)))</formula>
    </cfRule>
  </conditionalFormatting>
  <conditionalFormatting sqref="X30">
    <cfRule type="containsText" dxfId="2693" priority="11841" operator="containsText" text="正">
      <formula>NOT(ISERROR(SEARCH("正",X30)))</formula>
    </cfRule>
    <cfRule type="containsText" dxfId="2692" priority="11842" operator="containsText" text="Ｇ">
      <formula>NOT(ISERROR(SEARCH("Ｇ",X30)))</formula>
    </cfRule>
    <cfRule type="containsText" dxfId="2691" priority="11843" operator="containsText" text="祝">
      <formula>NOT(ISERROR(SEARCH("祝",X30)))</formula>
    </cfRule>
    <cfRule type="containsText" dxfId="2690" priority="11844" operator="containsText" text="祝">
      <formula>NOT(ISERROR(SEARCH("祝",X30)))</formula>
    </cfRule>
    <cfRule type="containsText" dxfId="2689" priority="11845" operator="containsText" text="祝">
      <formula>NOT(ISERROR(SEARCH("祝",X30)))</formula>
    </cfRule>
    <cfRule type="containsText" dxfId="2688" priority="11846" operator="containsText" text="祝">
      <formula>NOT(ISERROR(SEARCH("祝",X30)))</formula>
    </cfRule>
    <cfRule type="containsText" dxfId="2687" priority="11847" operator="containsText" text="祝">
      <formula>NOT(ISERROR(SEARCH("祝",X30)))</formula>
    </cfRule>
    <cfRule type="containsText" dxfId="2686" priority="11848" operator="containsText" text="盆">
      <formula>NOT(ISERROR(SEARCH("盆",X30)))</formula>
    </cfRule>
  </conditionalFormatting>
  <conditionalFormatting sqref="C30">
    <cfRule type="containsText" dxfId="2685" priority="11865" operator="containsText" text="正">
      <formula>NOT(ISERROR(SEARCH("正",C30)))</formula>
    </cfRule>
    <cfRule type="containsText" dxfId="2684" priority="11866" operator="containsText" text="Ｇ">
      <formula>NOT(ISERROR(SEARCH("Ｇ",C30)))</formula>
    </cfRule>
    <cfRule type="containsText" dxfId="2683" priority="11867" operator="containsText" text="祝">
      <formula>NOT(ISERROR(SEARCH("祝",C30)))</formula>
    </cfRule>
    <cfRule type="containsText" dxfId="2682" priority="11868" operator="containsText" text="祝">
      <formula>NOT(ISERROR(SEARCH("祝",C30)))</formula>
    </cfRule>
    <cfRule type="containsText" dxfId="2681" priority="11869" operator="containsText" text="祝">
      <formula>NOT(ISERROR(SEARCH("祝",C30)))</formula>
    </cfRule>
    <cfRule type="containsText" dxfId="2680" priority="11870" operator="containsText" text="祝">
      <formula>NOT(ISERROR(SEARCH("祝",C30)))</formula>
    </cfRule>
    <cfRule type="containsText" dxfId="2679" priority="11871" operator="containsText" text="祝">
      <formula>NOT(ISERROR(SEARCH("祝",C30)))</formula>
    </cfRule>
    <cfRule type="containsText" dxfId="2678" priority="11872" operator="containsText" text="盆">
      <formula>NOT(ISERROR(SEARCH("盆",C30)))</formula>
    </cfRule>
  </conditionalFormatting>
  <conditionalFormatting sqref="J30">
    <cfRule type="containsText" dxfId="2677" priority="11857" operator="containsText" text="正">
      <formula>NOT(ISERROR(SEARCH("正",J30)))</formula>
    </cfRule>
    <cfRule type="containsText" dxfId="2676" priority="11858" operator="containsText" text="Ｇ">
      <formula>NOT(ISERROR(SEARCH("Ｇ",J30)))</formula>
    </cfRule>
    <cfRule type="containsText" dxfId="2675" priority="11859" operator="containsText" text="祝">
      <formula>NOT(ISERROR(SEARCH("祝",J30)))</formula>
    </cfRule>
    <cfRule type="containsText" dxfId="2674" priority="11860" operator="containsText" text="祝">
      <formula>NOT(ISERROR(SEARCH("祝",J30)))</formula>
    </cfRule>
    <cfRule type="containsText" dxfId="2673" priority="11861" operator="containsText" text="祝">
      <formula>NOT(ISERROR(SEARCH("祝",J30)))</formula>
    </cfRule>
    <cfRule type="containsText" dxfId="2672" priority="11862" operator="containsText" text="祝">
      <formula>NOT(ISERROR(SEARCH("祝",J30)))</formula>
    </cfRule>
    <cfRule type="containsText" dxfId="2671" priority="11863" operator="containsText" text="祝">
      <formula>NOT(ISERROR(SEARCH("祝",J30)))</formula>
    </cfRule>
    <cfRule type="containsText" dxfId="2670" priority="11864" operator="containsText" text="盆">
      <formula>NOT(ISERROR(SEARCH("盆",J30)))</formula>
    </cfRule>
  </conditionalFormatting>
  <conditionalFormatting sqref="U18">
    <cfRule type="containsText" dxfId="2669" priority="11790" operator="containsText" text="正">
      <formula>NOT(ISERROR(SEARCH("正",U18)))</formula>
    </cfRule>
    <cfRule type="containsText" dxfId="2668" priority="11791" operator="containsText" text="Ｇ">
      <formula>NOT(ISERROR(SEARCH("Ｇ",U18)))</formula>
    </cfRule>
    <cfRule type="containsText" dxfId="2667" priority="11792" operator="containsText" text="祝">
      <formula>NOT(ISERROR(SEARCH("祝",U18)))</formula>
    </cfRule>
    <cfRule type="containsText" dxfId="2666" priority="11793" operator="containsText" text="祝">
      <formula>NOT(ISERROR(SEARCH("祝",U18)))</formula>
    </cfRule>
    <cfRule type="containsText" dxfId="2665" priority="11794" operator="containsText" text="祝">
      <formula>NOT(ISERROR(SEARCH("祝",U18)))</formula>
    </cfRule>
    <cfRule type="containsText" dxfId="2664" priority="11795" operator="containsText" text="祝">
      <formula>NOT(ISERROR(SEARCH("祝",U18)))</formula>
    </cfRule>
    <cfRule type="containsText" dxfId="2663" priority="11796" operator="containsText" text="祝">
      <formula>NOT(ISERROR(SEARCH("祝",U18)))</formula>
    </cfRule>
    <cfRule type="containsText" dxfId="2662" priority="11797" operator="containsText" text="盆">
      <formula>NOT(ISERROR(SEARCH("盆",U18)))</formula>
    </cfRule>
  </conditionalFormatting>
  <conditionalFormatting sqref="AB18">
    <cfRule type="containsText" dxfId="2661" priority="11758" operator="containsText" text="正">
      <formula>NOT(ISERROR(SEARCH("正",AB18)))</formula>
    </cfRule>
    <cfRule type="containsText" dxfId="2660" priority="11759" operator="containsText" text="Ｇ">
      <formula>NOT(ISERROR(SEARCH("Ｇ",AB18)))</formula>
    </cfRule>
    <cfRule type="containsText" dxfId="2659" priority="11760" operator="containsText" text="祝">
      <formula>NOT(ISERROR(SEARCH("祝",AB18)))</formula>
    </cfRule>
    <cfRule type="containsText" dxfId="2658" priority="11761" operator="containsText" text="祝">
      <formula>NOT(ISERROR(SEARCH("祝",AB18)))</formula>
    </cfRule>
    <cfRule type="containsText" dxfId="2657" priority="11762" operator="containsText" text="祝">
      <formula>NOT(ISERROR(SEARCH("祝",AB18)))</formula>
    </cfRule>
    <cfRule type="containsText" dxfId="2656" priority="11763" operator="containsText" text="祝">
      <formula>NOT(ISERROR(SEARCH("祝",AB18)))</formula>
    </cfRule>
    <cfRule type="containsText" dxfId="2655" priority="11764" operator="containsText" text="祝">
      <formula>NOT(ISERROR(SEARCH("祝",AB18)))</formula>
    </cfRule>
    <cfRule type="containsText" dxfId="2654" priority="11765" operator="containsText" text="盆">
      <formula>NOT(ISERROR(SEARCH("盆",AB18)))</formula>
    </cfRule>
  </conditionalFormatting>
  <conditionalFormatting sqref="E24">
    <cfRule type="containsText" dxfId="2653" priority="11726" operator="containsText" text="正">
      <formula>NOT(ISERROR(SEARCH("正",E24)))</formula>
    </cfRule>
    <cfRule type="containsText" dxfId="2652" priority="11727" operator="containsText" text="Ｇ">
      <formula>NOT(ISERROR(SEARCH("Ｇ",E24)))</formula>
    </cfRule>
    <cfRule type="containsText" dxfId="2651" priority="11728" operator="containsText" text="祝">
      <formula>NOT(ISERROR(SEARCH("祝",E24)))</formula>
    </cfRule>
    <cfRule type="containsText" dxfId="2650" priority="11729" operator="containsText" text="祝">
      <formula>NOT(ISERROR(SEARCH("祝",E24)))</formula>
    </cfRule>
    <cfRule type="containsText" dxfId="2649" priority="11730" operator="containsText" text="祝">
      <formula>NOT(ISERROR(SEARCH("祝",E24)))</formula>
    </cfRule>
    <cfRule type="containsText" dxfId="2648" priority="11731" operator="containsText" text="祝">
      <formula>NOT(ISERROR(SEARCH("祝",E24)))</formula>
    </cfRule>
    <cfRule type="containsText" dxfId="2647" priority="11732" operator="containsText" text="祝">
      <formula>NOT(ISERROR(SEARCH("祝",E24)))</formula>
    </cfRule>
    <cfRule type="containsText" dxfId="2646" priority="11733" operator="containsText" text="盆">
      <formula>NOT(ISERROR(SEARCH("盆",E24)))</formula>
    </cfRule>
  </conditionalFormatting>
  <conditionalFormatting sqref="F24">
    <cfRule type="containsText" dxfId="2645" priority="11710" operator="containsText" text="正">
      <formula>NOT(ISERROR(SEARCH("正",F24)))</formula>
    </cfRule>
    <cfRule type="containsText" dxfId="2644" priority="11711" operator="containsText" text="Ｇ">
      <formula>NOT(ISERROR(SEARCH("Ｇ",F24)))</formula>
    </cfRule>
    <cfRule type="containsText" dxfId="2643" priority="11712" operator="containsText" text="祝">
      <formula>NOT(ISERROR(SEARCH("祝",F24)))</formula>
    </cfRule>
    <cfRule type="containsText" dxfId="2642" priority="11713" operator="containsText" text="祝">
      <formula>NOT(ISERROR(SEARCH("祝",F24)))</formula>
    </cfRule>
    <cfRule type="containsText" dxfId="2641" priority="11714" operator="containsText" text="祝">
      <formula>NOT(ISERROR(SEARCH("祝",F24)))</formula>
    </cfRule>
    <cfRule type="containsText" dxfId="2640" priority="11715" operator="containsText" text="祝">
      <formula>NOT(ISERROR(SEARCH("祝",F24)))</formula>
    </cfRule>
    <cfRule type="containsText" dxfId="2639" priority="11716" operator="containsText" text="祝">
      <formula>NOT(ISERROR(SEARCH("祝",F24)))</formula>
    </cfRule>
    <cfRule type="containsText" dxfId="2638" priority="11717" operator="containsText" text="盆">
      <formula>NOT(ISERROR(SEARCH("盆",F24)))</formula>
    </cfRule>
  </conditionalFormatting>
  <conditionalFormatting sqref="L24">
    <cfRule type="containsText" dxfId="2637" priority="11694" operator="containsText" text="正">
      <formula>NOT(ISERROR(SEARCH("正",L24)))</formula>
    </cfRule>
    <cfRule type="containsText" dxfId="2636" priority="11695" operator="containsText" text="Ｇ">
      <formula>NOT(ISERROR(SEARCH("Ｇ",L24)))</formula>
    </cfRule>
    <cfRule type="containsText" dxfId="2635" priority="11696" operator="containsText" text="祝">
      <formula>NOT(ISERROR(SEARCH("祝",L24)))</formula>
    </cfRule>
    <cfRule type="containsText" dxfId="2634" priority="11697" operator="containsText" text="祝">
      <formula>NOT(ISERROR(SEARCH("祝",L24)))</formula>
    </cfRule>
    <cfRule type="containsText" dxfId="2633" priority="11698" operator="containsText" text="祝">
      <formula>NOT(ISERROR(SEARCH("祝",L24)))</formula>
    </cfRule>
    <cfRule type="containsText" dxfId="2632" priority="11699" operator="containsText" text="祝">
      <formula>NOT(ISERROR(SEARCH("祝",L24)))</formula>
    </cfRule>
    <cfRule type="containsText" dxfId="2631" priority="11700" operator="containsText" text="祝">
      <formula>NOT(ISERROR(SEARCH("祝",L24)))</formula>
    </cfRule>
    <cfRule type="containsText" dxfId="2630" priority="11701" operator="containsText" text="盆">
      <formula>NOT(ISERROR(SEARCH("盆",L24)))</formula>
    </cfRule>
  </conditionalFormatting>
  <conditionalFormatting sqref="M24">
    <cfRule type="containsText" dxfId="2629" priority="11678" operator="containsText" text="正">
      <formula>NOT(ISERROR(SEARCH("正",M24)))</formula>
    </cfRule>
    <cfRule type="containsText" dxfId="2628" priority="11679" operator="containsText" text="Ｇ">
      <formula>NOT(ISERROR(SEARCH("Ｇ",M24)))</formula>
    </cfRule>
    <cfRule type="containsText" dxfId="2627" priority="11680" operator="containsText" text="祝">
      <formula>NOT(ISERROR(SEARCH("祝",M24)))</formula>
    </cfRule>
    <cfRule type="containsText" dxfId="2626" priority="11681" operator="containsText" text="祝">
      <formula>NOT(ISERROR(SEARCH("祝",M24)))</formula>
    </cfRule>
    <cfRule type="containsText" dxfId="2625" priority="11682" operator="containsText" text="祝">
      <formula>NOT(ISERROR(SEARCH("祝",M24)))</formula>
    </cfRule>
    <cfRule type="containsText" dxfId="2624" priority="11683" operator="containsText" text="祝">
      <formula>NOT(ISERROR(SEARCH("祝",M24)))</formula>
    </cfRule>
    <cfRule type="containsText" dxfId="2623" priority="11684" operator="containsText" text="祝">
      <formula>NOT(ISERROR(SEARCH("祝",M24)))</formula>
    </cfRule>
    <cfRule type="containsText" dxfId="2622" priority="11685" operator="containsText" text="盆">
      <formula>NOT(ISERROR(SEARCH("盆",M24)))</formula>
    </cfRule>
  </conditionalFormatting>
  <conditionalFormatting sqref="S24">
    <cfRule type="containsText" dxfId="2621" priority="11662" operator="containsText" text="正">
      <formula>NOT(ISERROR(SEARCH("正",S24)))</formula>
    </cfRule>
    <cfRule type="containsText" dxfId="2620" priority="11663" operator="containsText" text="Ｇ">
      <formula>NOT(ISERROR(SEARCH("Ｇ",S24)))</formula>
    </cfRule>
    <cfRule type="containsText" dxfId="2619" priority="11664" operator="containsText" text="祝">
      <formula>NOT(ISERROR(SEARCH("祝",S24)))</formula>
    </cfRule>
    <cfRule type="containsText" dxfId="2618" priority="11665" operator="containsText" text="祝">
      <formula>NOT(ISERROR(SEARCH("祝",S24)))</formula>
    </cfRule>
    <cfRule type="containsText" dxfId="2617" priority="11666" operator="containsText" text="祝">
      <formula>NOT(ISERROR(SEARCH("祝",S24)))</formula>
    </cfRule>
    <cfRule type="containsText" dxfId="2616" priority="11667" operator="containsText" text="祝">
      <formula>NOT(ISERROR(SEARCH("祝",S24)))</formula>
    </cfRule>
    <cfRule type="containsText" dxfId="2615" priority="11668" operator="containsText" text="祝">
      <formula>NOT(ISERROR(SEARCH("祝",S24)))</formula>
    </cfRule>
    <cfRule type="containsText" dxfId="2614" priority="11669" operator="containsText" text="盆">
      <formula>NOT(ISERROR(SEARCH("盆",S24)))</formula>
    </cfRule>
  </conditionalFormatting>
  <conditionalFormatting sqref="T24">
    <cfRule type="containsText" dxfId="2613" priority="11646" operator="containsText" text="正">
      <formula>NOT(ISERROR(SEARCH("正",T24)))</formula>
    </cfRule>
    <cfRule type="containsText" dxfId="2612" priority="11647" operator="containsText" text="Ｇ">
      <formula>NOT(ISERROR(SEARCH("Ｇ",T24)))</formula>
    </cfRule>
    <cfRule type="containsText" dxfId="2611" priority="11648" operator="containsText" text="祝">
      <formula>NOT(ISERROR(SEARCH("祝",T24)))</formula>
    </cfRule>
    <cfRule type="containsText" dxfId="2610" priority="11649" operator="containsText" text="祝">
      <formula>NOT(ISERROR(SEARCH("祝",T24)))</formula>
    </cfRule>
    <cfRule type="containsText" dxfId="2609" priority="11650" operator="containsText" text="祝">
      <formula>NOT(ISERROR(SEARCH("祝",T24)))</formula>
    </cfRule>
    <cfRule type="containsText" dxfId="2608" priority="11651" operator="containsText" text="祝">
      <formula>NOT(ISERROR(SEARCH("祝",T24)))</formula>
    </cfRule>
    <cfRule type="containsText" dxfId="2607" priority="11652" operator="containsText" text="祝">
      <formula>NOT(ISERROR(SEARCH("祝",T24)))</formula>
    </cfRule>
    <cfRule type="containsText" dxfId="2606" priority="11653" operator="containsText" text="盆">
      <formula>NOT(ISERROR(SEARCH("盆",T24)))</formula>
    </cfRule>
  </conditionalFormatting>
  <conditionalFormatting sqref="Z24">
    <cfRule type="containsText" dxfId="2605" priority="11630" operator="containsText" text="正">
      <formula>NOT(ISERROR(SEARCH("正",Z24)))</formula>
    </cfRule>
    <cfRule type="containsText" dxfId="2604" priority="11631" operator="containsText" text="Ｇ">
      <formula>NOT(ISERROR(SEARCH("Ｇ",Z24)))</formula>
    </cfRule>
    <cfRule type="containsText" dxfId="2603" priority="11632" operator="containsText" text="祝">
      <formula>NOT(ISERROR(SEARCH("祝",Z24)))</formula>
    </cfRule>
    <cfRule type="containsText" dxfId="2602" priority="11633" operator="containsText" text="祝">
      <formula>NOT(ISERROR(SEARCH("祝",Z24)))</formula>
    </cfRule>
    <cfRule type="containsText" dxfId="2601" priority="11634" operator="containsText" text="祝">
      <formula>NOT(ISERROR(SEARCH("祝",Z24)))</formula>
    </cfRule>
    <cfRule type="containsText" dxfId="2600" priority="11635" operator="containsText" text="祝">
      <formula>NOT(ISERROR(SEARCH("祝",Z24)))</formula>
    </cfRule>
    <cfRule type="containsText" dxfId="2599" priority="11636" operator="containsText" text="祝">
      <formula>NOT(ISERROR(SEARCH("祝",Z24)))</formula>
    </cfRule>
    <cfRule type="containsText" dxfId="2598" priority="11637" operator="containsText" text="盆">
      <formula>NOT(ISERROR(SEARCH("盆",Z24)))</formula>
    </cfRule>
  </conditionalFormatting>
  <conditionalFormatting sqref="AA24">
    <cfRule type="containsText" dxfId="2597" priority="11614" operator="containsText" text="正">
      <formula>NOT(ISERROR(SEARCH("正",AA24)))</formula>
    </cfRule>
    <cfRule type="containsText" dxfId="2596" priority="11615" operator="containsText" text="Ｇ">
      <formula>NOT(ISERROR(SEARCH("Ｇ",AA24)))</formula>
    </cfRule>
    <cfRule type="containsText" dxfId="2595" priority="11616" operator="containsText" text="祝">
      <formula>NOT(ISERROR(SEARCH("祝",AA24)))</formula>
    </cfRule>
    <cfRule type="containsText" dxfId="2594" priority="11617" operator="containsText" text="祝">
      <formula>NOT(ISERROR(SEARCH("祝",AA24)))</formula>
    </cfRule>
    <cfRule type="containsText" dxfId="2593" priority="11618" operator="containsText" text="祝">
      <formula>NOT(ISERROR(SEARCH("祝",AA24)))</formula>
    </cfRule>
    <cfRule type="containsText" dxfId="2592" priority="11619" operator="containsText" text="祝">
      <formula>NOT(ISERROR(SEARCH("祝",AA24)))</formula>
    </cfRule>
    <cfRule type="containsText" dxfId="2591" priority="11620" operator="containsText" text="祝">
      <formula>NOT(ISERROR(SEARCH("祝",AA24)))</formula>
    </cfRule>
    <cfRule type="containsText" dxfId="2590" priority="11621" operator="containsText" text="盆">
      <formula>NOT(ISERROR(SEARCH("盆",AA24)))</formula>
    </cfRule>
  </conditionalFormatting>
  <conditionalFormatting sqref="X18">
    <cfRule type="containsText" dxfId="2589" priority="11534" operator="containsText" text="正">
      <formula>NOT(ISERROR(SEARCH("正",X18)))</formula>
    </cfRule>
    <cfRule type="containsText" dxfId="2588" priority="11535" operator="containsText" text="Ｇ">
      <formula>NOT(ISERROR(SEARCH("Ｇ",X18)))</formula>
    </cfRule>
    <cfRule type="containsText" dxfId="2587" priority="11536" operator="containsText" text="祝">
      <formula>NOT(ISERROR(SEARCH("祝",X18)))</formula>
    </cfRule>
    <cfRule type="containsText" dxfId="2586" priority="11537" operator="containsText" text="祝">
      <formula>NOT(ISERROR(SEARCH("祝",X18)))</formula>
    </cfRule>
    <cfRule type="containsText" dxfId="2585" priority="11538" operator="containsText" text="祝">
      <formula>NOT(ISERROR(SEARCH("祝",X18)))</formula>
    </cfRule>
    <cfRule type="containsText" dxfId="2584" priority="11539" operator="containsText" text="祝">
      <formula>NOT(ISERROR(SEARCH("祝",X18)))</formula>
    </cfRule>
    <cfRule type="containsText" dxfId="2583" priority="11540" operator="containsText" text="祝">
      <formula>NOT(ISERROR(SEARCH("祝",X18)))</formula>
    </cfRule>
    <cfRule type="containsText" dxfId="2582" priority="11541" operator="containsText" text="盆">
      <formula>NOT(ISERROR(SEARCH("盆",X18)))</formula>
    </cfRule>
  </conditionalFormatting>
  <conditionalFormatting sqref="N24">
    <cfRule type="containsText" dxfId="2581" priority="11454" operator="containsText" text="正">
      <formula>NOT(ISERROR(SEARCH("正",N24)))</formula>
    </cfRule>
    <cfRule type="containsText" dxfId="2580" priority="11455" operator="containsText" text="Ｇ">
      <formula>NOT(ISERROR(SEARCH("Ｇ",N24)))</formula>
    </cfRule>
    <cfRule type="containsText" dxfId="2579" priority="11456" operator="containsText" text="祝">
      <formula>NOT(ISERROR(SEARCH("祝",N24)))</formula>
    </cfRule>
    <cfRule type="containsText" dxfId="2578" priority="11457" operator="containsText" text="祝">
      <formula>NOT(ISERROR(SEARCH("祝",N24)))</formula>
    </cfRule>
    <cfRule type="containsText" dxfId="2577" priority="11458" operator="containsText" text="祝">
      <formula>NOT(ISERROR(SEARCH("祝",N24)))</formula>
    </cfRule>
    <cfRule type="containsText" dxfId="2576" priority="11459" operator="containsText" text="祝">
      <formula>NOT(ISERROR(SEARCH("祝",N24)))</formula>
    </cfRule>
    <cfRule type="containsText" dxfId="2575" priority="11460" operator="containsText" text="祝">
      <formula>NOT(ISERROR(SEARCH("祝",N24)))</formula>
    </cfRule>
    <cfRule type="containsText" dxfId="2574" priority="11461" operator="containsText" text="盆">
      <formula>NOT(ISERROR(SEARCH("盆",N24)))</formula>
    </cfRule>
  </conditionalFormatting>
  <conditionalFormatting sqref="G24">
    <cfRule type="containsText" dxfId="2573" priority="11486" operator="containsText" text="正">
      <formula>NOT(ISERROR(SEARCH("正",G24)))</formula>
    </cfRule>
    <cfRule type="containsText" dxfId="2572" priority="11487" operator="containsText" text="Ｇ">
      <formula>NOT(ISERROR(SEARCH("Ｇ",G24)))</formula>
    </cfRule>
    <cfRule type="containsText" dxfId="2571" priority="11488" operator="containsText" text="祝">
      <formula>NOT(ISERROR(SEARCH("祝",G24)))</formula>
    </cfRule>
    <cfRule type="containsText" dxfId="2570" priority="11489" operator="containsText" text="祝">
      <formula>NOT(ISERROR(SEARCH("祝",G24)))</formula>
    </cfRule>
    <cfRule type="containsText" dxfId="2569" priority="11490" operator="containsText" text="祝">
      <formula>NOT(ISERROR(SEARCH("祝",G24)))</formula>
    </cfRule>
    <cfRule type="containsText" dxfId="2568" priority="11491" operator="containsText" text="祝">
      <formula>NOT(ISERROR(SEARCH("祝",G24)))</formula>
    </cfRule>
    <cfRule type="containsText" dxfId="2567" priority="11492" operator="containsText" text="祝">
      <formula>NOT(ISERROR(SEARCH("祝",G24)))</formula>
    </cfRule>
    <cfRule type="containsText" dxfId="2566" priority="11493" operator="containsText" text="盆">
      <formula>NOT(ISERROR(SEARCH("盆",G24)))</formula>
    </cfRule>
  </conditionalFormatting>
  <conditionalFormatting sqref="U24">
    <cfRule type="containsText" dxfId="2565" priority="11422" operator="containsText" text="正">
      <formula>NOT(ISERROR(SEARCH("正",U24)))</formula>
    </cfRule>
    <cfRule type="containsText" dxfId="2564" priority="11423" operator="containsText" text="Ｇ">
      <formula>NOT(ISERROR(SEARCH("Ｇ",U24)))</formula>
    </cfRule>
    <cfRule type="containsText" dxfId="2563" priority="11424" operator="containsText" text="祝">
      <formula>NOT(ISERROR(SEARCH("祝",U24)))</formula>
    </cfRule>
    <cfRule type="containsText" dxfId="2562" priority="11425" operator="containsText" text="祝">
      <formula>NOT(ISERROR(SEARCH("祝",U24)))</formula>
    </cfRule>
    <cfRule type="containsText" dxfId="2561" priority="11426" operator="containsText" text="祝">
      <formula>NOT(ISERROR(SEARCH("祝",U24)))</formula>
    </cfRule>
    <cfRule type="containsText" dxfId="2560" priority="11427" operator="containsText" text="祝">
      <formula>NOT(ISERROR(SEARCH("祝",U24)))</formula>
    </cfRule>
    <cfRule type="containsText" dxfId="2559" priority="11428" operator="containsText" text="祝">
      <formula>NOT(ISERROR(SEARCH("祝",U24)))</formula>
    </cfRule>
    <cfRule type="containsText" dxfId="2558" priority="11429" operator="containsText" text="盆">
      <formula>NOT(ISERROR(SEARCH("盆",U24)))</formula>
    </cfRule>
  </conditionalFormatting>
  <conditionalFormatting sqref="AB24">
    <cfRule type="containsText" dxfId="2557" priority="11390" operator="containsText" text="正">
      <formula>NOT(ISERROR(SEARCH("正",AB24)))</formula>
    </cfRule>
    <cfRule type="containsText" dxfId="2556" priority="11391" operator="containsText" text="Ｇ">
      <formula>NOT(ISERROR(SEARCH("Ｇ",AB24)))</formula>
    </cfRule>
    <cfRule type="containsText" dxfId="2555" priority="11392" operator="containsText" text="祝">
      <formula>NOT(ISERROR(SEARCH("祝",AB24)))</formula>
    </cfRule>
    <cfRule type="containsText" dxfId="2554" priority="11393" operator="containsText" text="祝">
      <formula>NOT(ISERROR(SEARCH("祝",AB24)))</formula>
    </cfRule>
    <cfRule type="containsText" dxfId="2553" priority="11394" operator="containsText" text="祝">
      <formula>NOT(ISERROR(SEARCH("祝",AB24)))</formula>
    </cfRule>
    <cfRule type="containsText" dxfId="2552" priority="11395" operator="containsText" text="祝">
      <formula>NOT(ISERROR(SEARCH("祝",AB24)))</formula>
    </cfRule>
    <cfRule type="containsText" dxfId="2551" priority="11396" operator="containsText" text="祝">
      <formula>NOT(ISERROR(SEARCH("祝",AB24)))</formula>
    </cfRule>
    <cfRule type="containsText" dxfId="2550" priority="11397" operator="containsText" text="盆">
      <formula>NOT(ISERROR(SEARCH("盆",AB24)))</formula>
    </cfRule>
  </conditionalFormatting>
  <conditionalFormatting sqref="D30">
    <cfRule type="containsText" dxfId="2549" priority="11358" operator="containsText" text="正">
      <formula>NOT(ISERROR(SEARCH("正",D30)))</formula>
    </cfRule>
    <cfRule type="containsText" dxfId="2548" priority="11359" operator="containsText" text="Ｇ">
      <formula>NOT(ISERROR(SEARCH("Ｇ",D30)))</formula>
    </cfRule>
    <cfRule type="containsText" dxfId="2547" priority="11360" operator="containsText" text="祝">
      <formula>NOT(ISERROR(SEARCH("祝",D30)))</formula>
    </cfRule>
    <cfRule type="containsText" dxfId="2546" priority="11361" operator="containsText" text="祝">
      <formula>NOT(ISERROR(SEARCH("祝",D30)))</formula>
    </cfRule>
    <cfRule type="containsText" dxfId="2545" priority="11362" operator="containsText" text="祝">
      <formula>NOT(ISERROR(SEARCH("祝",D30)))</formula>
    </cfRule>
    <cfRule type="containsText" dxfId="2544" priority="11363" operator="containsText" text="祝">
      <formula>NOT(ISERROR(SEARCH("祝",D30)))</formula>
    </cfRule>
    <cfRule type="containsText" dxfId="2543" priority="11364" operator="containsText" text="祝">
      <formula>NOT(ISERROR(SEARCH("祝",D30)))</formula>
    </cfRule>
    <cfRule type="containsText" dxfId="2542" priority="11365" operator="containsText" text="盆">
      <formula>NOT(ISERROR(SEARCH("盆",D30)))</formula>
    </cfRule>
  </conditionalFormatting>
  <conditionalFormatting sqref="E30">
    <cfRule type="containsText" dxfId="2541" priority="11342" operator="containsText" text="正">
      <formula>NOT(ISERROR(SEARCH("正",E30)))</formula>
    </cfRule>
    <cfRule type="containsText" dxfId="2540" priority="11343" operator="containsText" text="Ｇ">
      <formula>NOT(ISERROR(SEARCH("Ｇ",E30)))</formula>
    </cfRule>
    <cfRule type="containsText" dxfId="2539" priority="11344" operator="containsText" text="祝">
      <formula>NOT(ISERROR(SEARCH("祝",E30)))</formula>
    </cfRule>
    <cfRule type="containsText" dxfId="2538" priority="11345" operator="containsText" text="祝">
      <formula>NOT(ISERROR(SEARCH("祝",E30)))</formula>
    </cfRule>
    <cfRule type="containsText" dxfId="2537" priority="11346" operator="containsText" text="祝">
      <formula>NOT(ISERROR(SEARCH("祝",E30)))</formula>
    </cfRule>
    <cfRule type="containsText" dxfId="2536" priority="11347" operator="containsText" text="祝">
      <formula>NOT(ISERROR(SEARCH("祝",E30)))</formula>
    </cfRule>
    <cfRule type="containsText" dxfId="2535" priority="11348" operator="containsText" text="祝">
      <formula>NOT(ISERROR(SEARCH("祝",E30)))</formula>
    </cfRule>
    <cfRule type="containsText" dxfId="2534" priority="11349" operator="containsText" text="盆">
      <formula>NOT(ISERROR(SEARCH("盆",E30)))</formula>
    </cfRule>
  </conditionalFormatting>
  <conditionalFormatting sqref="K30">
    <cfRule type="containsText" dxfId="2533" priority="11326" operator="containsText" text="正">
      <formula>NOT(ISERROR(SEARCH("正",K30)))</formula>
    </cfRule>
    <cfRule type="containsText" dxfId="2532" priority="11327" operator="containsText" text="Ｇ">
      <formula>NOT(ISERROR(SEARCH("Ｇ",K30)))</formula>
    </cfRule>
    <cfRule type="containsText" dxfId="2531" priority="11328" operator="containsText" text="祝">
      <formula>NOT(ISERROR(SEARCH("祝",K30)))</formula>
    </cfRule>
    <cfRule type="containsText" dxfId="2530" priority="11329" operator="containsText" text="祝">
      <formula>NOT(ISERROR(SEARCH("祝",K30)))</formula>
    </cfRule>
    <cfRule type="containsText" dxfId="2529" priority="11330" operator="containsText" text="祝">
      <formula>NOT(ISERROR(SEARCH("祝",K30)))</formula>
    </cfRule>
    <cfRule type="containsText" dxfId="2528" priority="11331" operator="containsText" text="祝">
      <formula>NOT(ISERROR(SEARCH("祝",K30)))</formula>
    </cfRule>
    <cfRule type="containsText" dxfId="2527" priority="11332" operator="containsText" text="祝">
      <formula>NOT(ISERROR(SEARCH("祝",K30)))</formula>
    </cfRule>
    <cfRule type="containsText" dxfId="2526" priority="11333" operator="containsText" text="盆">
      <formula>NOT(ISERROR(SEARCH("盆",K30)))</formula>
    </cfRule>
  </conditionalFormatting>
  <conditionalFormatting sqref="L30">
    <cfRule type="containsText" dxfId="2525" priority="11310" operator="containsText" text="正">
      <formula>NOT(ISERROR(SEARCH("正",L30)))</formula>
    </cfRule>
    <cfRule type="containsText" dxfId="2524" priority="11311" operator="containsText" text="Ｇ">
      <formula>NOT(ISERROR(SEARCH("Ｇ",L30)))</formula>
    </cfRule>
    <cfRule type="containsText" dxfId="2523" priority="11312" operator="containsText" text="祝">
      <formula>NOT(ISERROR(SEARCH("祝",L30)))</formula>
    </cfRule>
    <cfRule type="containsText" dxfId="2522" priority="11313" operator="containsText" text="祝">
      <formula>NOT(ISERROR(SEARCH("祝",L30)))</formula>
    </cfRule>
    <cfRule type="containsText" dxfId="2521" priority="11314" operator="containsText" text="祝">
      <formula>NOT(ISERROR(SEARCH("祝",L30)))</formula>
    </cfRule>
    <cfRule type="containsText" dxfId="2520" priority="11315" operator="containsText" text="祝">
      <formula>NOT(ISERROR(SEARCH("祝",L30)))</formula>
    </cfRule>
    <cfRule type="containsText" dxfId="2519" priority="11316" operator="containsText" text="祝">
      <formula>NOT(ISERROR(SEARCH("祝",L30)))</formula>
    </cfRule>
    <cfRule type="containsText" dxfId="2518" priority="11317" operator="containsText" text="盆">
      <formula>NOT(ISERROR(SEARCH("盆",L30)))</formula>
    </cfRule>
  </conditionalFormatting>
  <conditionalFormatting sqref="R30">
    <cfRule type="containsText" dxfId="2517" priority="11294" operator="containsText" text="正">
      <formula>NOT(ISERROR(SEARCH("正",R30)))</formula>
    </cfRule>
    <cfRule type="containsText" dxfId="2516" priority="11295" operator="containsText" text="Ｇ">
      <formula>NOT(ISERROR(SEARCH("Ｇ",R30)))</formula>
    </cfRule>
    <cfRule type="containsText" dxfId="2515" priority="11296" operator="containsText" text="祝">
      <formula>NOT(ISERROR(SEARCH("祝",R30)))</formula>
    </cfRule>
    <cfRule type="containsText" dxfId="2514" priority="11297" operator="containsText" text="祝">
      <formula>NOT(ISERROR(SEARCH("祝",R30)))</formula>
    </cfRule>
    <cfRule type="containsText" dxfId="2513" priority="11298" operator="containsText" text="祝">
      <formula>NOT(ISERROR(SEARCH("祝",R30)))</formula>
    </cfRule>
    <cfRule type="containsText" dxfId="2512" priority="11299" operator="containsText" text="祝">
      <formula>NOT(ISERROR(SEARCH("祝",R30)))</formula>
    </cfRule>
    <cfRule type="containsText" dxfId="2511" priority="11300" operator="containsText" text="祝">
      <formula>NOT(ISERROR(SEARCH("祝",R30)))</formula>
    </cfRule>
    <cfRule type="containsText" dxfId="2510" priority="11301" operator="containsText" text="盆">
      <formula>NOT(ISERROR(SEARCH("盆",R30)))</formula>
    </cfRule>
  </conditionalFormatting>
  <conditionalFormatting sqref="S30">
    <cfRule type="containsText" dxfId="2509" priority="11278" operator="containsText" text="正">
      <formula>NOT(ISERROR(SEARCH("正",S30)))</formula>
    </cfRule>
    <cfRule type="containsText" dxfId="2508" priority="11279" operator="containsText" text="Ｇ">
      <formula>NOT(ISERROR(SEARCH("Ｇ",S30)))</formula>
    </cfRule>
    <cfRule type="containsText" dxfId="2507" priority="11280" operator="containsText" text="祝">
      <formula>NOT(ISERROR(SEARCH("祝",S30)))</formula>
    </cfRule>
    <cfRule type="containsText" dxfId="2506" priority="11281" operator="containsText" text="祝">
      <formula>NOT(ISERROR(SEARCH("祝",S30)))</formula>
    </cfRule>
    <cfRule type="containsText" dxfId="2505" priority="11282" operator="containsText" text="祝">
      <formula>NOT(ISERROR(SEARCH("祝",S30)))</formula>
    </cfRule>
    <cfRule type="containsText" dxfId="2504" priority="11283" operator="containsText" text="祝">
      <formula>NOT(ISERROR(SEARCH("祝",S30)))</formula>
    </cfRule>
    <cfRule type="containsText" dxfId="2503" priority="11284" operator="containsText" text="祝">
      <formula>NOT(ISERROR(SEARCH("祝",S30)))</formula>
    </cfRule>
    <cfRule type="containsText" dxfId="2502" priority="11285" operator="containsText" text="盆">
      <formula>NOT(ISERROR(SEARCH("盆",S30)))</formula>
    </cfRule>
  </conditionalFormatting>
  <conditionalFormatting sqref="Y30">
    <cfRule type="containsText" dxfId="2501" priority="11262" operator="containsText" text="正">
      <formula>NOT(ISERROR(SEARCH("正",Y30)))</formula>
    </cfRule>
    <cfRule type="containsText" dxfId="2500" priority="11263" operator="containsText" text="Ｇ">
      <formula>NOT(ISERROR(SEARCH("Ｇ",Y30)))</formula>
    </cfRule>
    <cfRule type="containsText" dxfId="2499" priority="11264" operator="containsText" text="祝">
      <formula>NOT(ISERROR(SEARCH("祝",Y30)))</formula>
    </cfRule>
    <cfRule type="containsText" dxfId="2498" priority="11265" operator="containsText" text="祝">
      <formula>NOT(ISERROR(SEARCH("祝",Y30)))</formula>
    </cfRule>
    <cfRule type="containsText" dxfId="2497" priority="11266" operator="containsText" text="祝">
      <formula>NOT(ISERROR(SEARCH("祝",Y30)))</formula>
    </cfRule>
    <cfRule type="containsText" dxfId="2496" priority="11267" operator="containsText" text="祝">
      <formula>NOT(ISERROR(SEARCH("祝",Y30)))</formula>
    </cfRule>
    <cfRule type="containsText" dxfId="2495" priority="11268" operator="containsText" text="祝">
      <formula>NOT(ISERROR(SEARCH("祝",Y30)))</formula>
    </cfRule>
    <cfRule type="containsText" dxfId="2494" priority="11269" operator="containsText" text="盆">
      <formula>NOT(ISERROR(SEARCH("盆",Y30)))</formula>
    </cfRule>
  </conditionalFormatting>
  <conditionalFormatting sqref="Z30">
    <cfRule type="containsText" dxfId="2493" priority="11246" operator="containsText" text="正">
      <formula>NOT(ISERROR(SEARCH("正",Z30)))</formula>
    </cfRule>
    <cfRule type="containsText" dxfId="2492" priority="11247" operator="containsText" text="Ｇ">
      <formula>NOT(ISERROR(SEARCH("Ｇ",Z30)))</formula>
    </cfRule>
    <cfRule type="containsText" dxfId="2491" priority="11248" operator="containsText" text="祝">
      <formula>NOT(ISERROR(SEARCH("祝",Z30)))</formula>
    </cfRule>
    <cfRule type="containsText" dxfId="2490" priority="11249" operator="containsText" text="祝">
      <formula>NOT(ISERROR(SEARCH("祝",Z30)))</formula>
    </cfRule>
    <cfRule type="containsText" dxfId="2489" priority="11250" operator="containsText" text="祝">
      <formula>NOT(ISERROR(SEARCH("祝",Z30)))</formula>
    </cfRule>
    <cfRule type="containsText" dxfId="2488" priority="11251" operator="containsText" text="祝">
      <formula>NOT(ISERROR(SEARCH("祝",Z30)))</formula>
    </cfRule>
    <cfRule type="containsText" dxfId="2487" priority="11252" operator="containsText" text="祝">
      <formula>NOT(ISERROR(SEARCH("祝",Z30)))</formula>
    </cfRule>
    <cfRule type="containsText" dxfId="2486" priority="11253" operator="containsText" text="盆">
      <formula>NOT(ISERROR(SEARCH("盆",Z30)))</formula>
    </cfRule>
  </conditionalFormatting>
  <conditionalFormatting sqref="F42">
    <cfRule type="containsText" dxfId="2485" priority="11070" operator="containsText" text="正">
      <formula>NOT(ISERROR(SEARCH("正",F42)))</formula>
    </cfRule>
    <cfRule type="containsText" dxfId="2484" priority="11071" operator="containsText" text="Ｇ">
      <formula>NOT(ISERROR(SEARCH("Ｇ",F42)))</formula>
    </cfRule>
    <cfRule type="containsText" dxfId="2483" priority="11072" operator="containsText" text="祝">
      <formula>NOT(ISERROR(SEARCH("祝",F42)))</formula>
    </cfRule>
    <cfRule type="containsText" dxfId="2482" priority="11073" operator="containsText" text="祝">
      <formula>NOT(ISERROR(SEARCH("祝",F42)))</formula>
    </cfRule>
    <cfRule type="containsText" dxfId="2481" priority="11074" operator="containsText" text="祝">
      <formula>NOT(ISERROR(SEARCH("祝",F42)))</formula>
    </cfRule>
    <cfRule type="containsText" dxfId="2480" priority="11075" operator="containsText" text="祝">
      <formula>NOT(ISERROR(SEARCH("祝",F42)))</formula>
    </cfRule>
    <cfRule type="containsText" dxfId="2479" priority="11076" operator="containsText" text="祝">
      <formula>NOT(ISERROR(SEARCH("祝",F42)))</formula>
    </cfRule>
    <cfRule type="containsText" dxfId="2478" priority="11077" operator="containsText" text="盆">
      <formula>NOT(ISERROR(SEARCH("盆",F42)))</formula>
    </cfRule>
  </conditionalFormatting>
  <conditionalFormatting sqref="G42">
    <cfRule type="containsText" dxfId="2477" priority="11054" operator="containsText" text="正">
      <formula>NOT(ISERROR(SEARCH("正",G42)))</formula>
    </cfRule>
    <cfRule type="containsText" dxfId="2476" priority="11055" operator="containsText" text="Ｇ">
      <formula>NOT(ISERROR(SEARCH("Ｇ",G42)))</formula>
    </cfRule>
    <cfRule type="containsText" dxfId="2475" priority="11056" operator="containsText" text="祝">
      <formula>NOT(ISERROR(SEARCH("祝",G42)))</formula>
    </cfRule>
    <cfRule type="containsText" dxfId="2474" priority="11057" operator="containsText" text="祝">
      <formula>NOT(ISERROR(SEARCH("祝",G42)))</formula>
    </cfRule>
    <cfRule type="containsText" dxfId="2473" priority="11058" operator="containsText" text="祝">
      <formula>NOT(ISERROR(SEARCH("祝",G42)))</formula>
    </cfRule>
    <cfRule type="containsText" dxfId="2472" priority="11059" operator="containsText" text="祝">
      <formula>NOT(ISERROR(SEARCH("祝",G42)))</formula>
    </cfRule>
    <cfRule type="containsText" dxfId="2471" priority="11060" operator="containsText" text="祝">
      <formula>NOT(ISERROR(SEARCH("祝",G42)))</formula>
    </cfRule>
    <cfRule type="containsText" dxfId="2470" priority="11061" operator="containsText" text="盆">
      <formula>NOT(ISERROR(SEARCH("盆",G42)))</formula>
    </cfRule>
  </conditionalFormatting>
  <conditionalFormatting sqref="M42">
    <cfRule type="containsText" dxfId="2469" priority="11038" operator="containsText" text="正">
      <formula>NOT(ISERROR(SEARCH("正",M42)))</formula>
    </cfRule>
    <cfRule type="containsText" dxfId="2468" priority="11039" operator="containsText" text="Ｇ">
      <formula>NOT(ISERROR(SEARCH("Ｇ",M42)))</formula>
    </cfRule>
    <cfRule type="containsText" dxfId="2467" priority="11040" operator="containsText" text="祝">
      <formula>NOT(ISERROR(SEARCH("祝",M42)))</formula>
    </cfRule>
    <cfRule type="containsText" dxfId="2466" priority="11041" operator="containsText" text="祝">
      <formula>NOT(ISERROR(SEARCH("祝",M42)))</formula>
    </cfRule>
    <cfRule type="containsText" dxfId="2465" priority="11042" operator="containsText" text="祝">
      <formula>NOT(ISERROR(SEARCH("祝",M42)))</formula>
    </cfRule>
    <cfRule type="containsText" dxfId="2464" priority="11043" operator="containsText" text="祝">
      <formula>NOT(ISERROR(SEARCH("祝",M42)))</formula>
    </cfRule>
    <cfRule type="containsText" dxfId="2463" priority="11044" operator="containsText" text="祝">
      <formula>NOT(ISERROR(SEARCH("祝",M42)))</formula>
    </cfRule>
    <cfRule type="containsText" dxfId="2462" priority="11045" operator="containsText" text="盆">
      <formula>NOT(ISERROR(SEARCH("盆",M42)))</formula>
    </cfRule>
  </conditionalFormatting>
  <conditionalFormatting sqref="N42">
    <cfRule type="containsText" dxfId="2461" priority="11022" operator="containsText" text="正">
      <formula>NOT(ISERROR(SEARCH("正",N42)))</formula>
    </cfRule>
    <cfRule type="containsText" dxfId="2460" priority="11023" operator="containsText" text="Ｇ">
      <formula>NOT(ISERROR(SEARCH("Ｇ",N42)))</formula>
    </cfRule>
    <cfRule type="containsText" dxfId="2459" priority="11024" operator="containsText" text="祝">
      <formula>NOT(ISERROR(SEARCH("祝",N42)))</formula>
    </cfRule>
    <cfRule type="containsText" dxfId="2458" priority="11025" operator="containsText" text="祝">
      <formula>NOT(ISERROR(SEARCH("祝",N42)))</formula>
    </cfRule>
    <cfRule type="containsText" dxfId="2457" priority="11026" operator="containsText" text="祝">
      <formula>NOT(ISERROR(SEARCH("祝",N42)))</formula>
    </cfRule>
    <cfRule type="containsText" dxfId="2456" priority="11027" operator="containsText" text="祝">
      <formula>NOT(ISERROR(SEARCH("祝",N42)))</formula>
    </cfRule>
    <cfRule type="containsText" dxfId="2455" priority="11028" operator="containsText" text="祝">
      <formula>NOT(ISERROR(SEARCH("祝",N42)))</formula>
    </cfRule>
    <cfRule type="containsText" dxfId="2454" priority="11029" operator="containsText" text="盆">
      <formula>NOT(ISERROR(SEARCH("盆",N42)))</formula>
    </cfRule>
  </conditionalFormatting>
  <conditionalFormatting sqref="T42">
    <cfRule type="containsText" dxfId="2453" priority="11006" operator="containsText" text="正">
      <formula>NOT(ISERROR(SEARCH("正",T42)))</formula>
    </cfRule>
    <cfRule type="containsText" dxfId="2452" priority="11007" operator="containsText" text="Ｇ">
      <formula>NOT(ISERROR(SEARCH("Ｇ",T42)))</formula>
    </cfRule>
    <cfRule type="containsText" dxfId="2451" priority="11008" operator="containsText" text="祝">
      <formula>NOT(ISERROR(SEARCH("祝",T42)))</formula>
    </cfRule>
    <cfRule type="containsText" dxfId="2450" priority="11009" operator="containsText" text="祝">
      <formula>NOT(ISERROR(SEARCH("祝",T42)))</formula>
    </cfRule>
    <cfRule type="containsText" dxfId="2449" priority="11010" operator="containsText" text="祝">
      <formula>NOT(ISERROR(SEARCH("祝",T42)))</formula>
    </cfRule>
    <cfRule type="containsText" dxfId="2448" priority="11011" operator="containsText" text="祝">
      <formula>NOT(ISERROR(SEARCH("祝",T42)))</formula>
    </cfRule>
    <cfRule type="containsText" dxfId="2447" priority="11012" operator="containsText" text="祝">
      <formula>NOT(ISERROR(SEARCH("祝",T42)))</formula>
    </cfRule>
    <cfRule type="containsText" dxfId="2446" priority="11013" operator="containsText" text="盆">
      <formula>NOT(ISERROR(SEARCH("盆",T42)))</formula>
    </cfRule>
  </conditionalFormatting>
  <conditionalFormatting sqref="U42">
    <cfRule type="containsText" dxfId="2445" priority="10990" operator="containsText" text="正">
      <formula>NOT(ISERROR(SEARCH("正",U42)))</formula>
    </cfRule>
    <cfRule type="containsText" dxfId="2444" priority="10991" operator="containsText" text="Ｇ">
      <formula>NOT(ISERROR(SEARCH("Ｇ",U42)))</formula>
    </cfRule>
    <cfRule type="containsText" dxfId="2443" priority="10992" operator="containsText" text="祝">
      <formula>NOT(ISERROR(SEARCH("祝",U42)))</formula>
    </cfRule>
    <cfRule type="containsText" dxfId="2442" priority="10993" operator="containsText" text="祝">
      <formula>NOT(ISERROR(SEARCH("祝",U42)))</formula>
    </cfRule>
    <cfRule type="containsText" dxfId="2441" priority="10994" operator="containsText" text="祝">
      <formula>NOT(ISERROR(SEARCH("祝",U42)))</formula>
    </cfRule>
    <cfRule type="containsText" dxfId="2440" priority="10995" operator="containsText" text="祝">
      <formula>NOT(ISERROR(SEARCH("祝",U42)))</formula>
    </cfRule>
    <cfRule type="containsText" dxfId="2439" priority="10996" operator="containsText" text="祝">
      <formula>NOT(ISERROR(SEARCH("祝",U42)))</formula>
    </cfRule>
    <cfRule type="containsText" dxfId="2438" priority="10997" operator="containsText" text="盆">
      <formula>NOT(ISERROR(SEARCH("盆",U42)))</formula>
    </cfRule>
  </conditionalFormatting>
  <conditionalFormatting sqref="AA42">
    <cfRule type="containsText" dxfId="2437" priority="10974" operator="containsText" text="正">
      <formula>NOT(ISERROR(SEARCH("正",AA42)))</formula>
    </cfRule>
    <cfRule type="containsText" dxfId="2436" priority="10975" operator="containsText" text="Ｇ">
      <formula>NOT(ISERROR(SEARCH("Ｇ",AA42)))</formula>
    </cfRule>
    <cfRule type="containsText" dxfId="2435" priority="10976" operator="containsText" text="祝">
      <formula>NOT(ISERROR(SEARCH("祝",AA42)))</formula>
    </cfRule>
    <cfRule type="containsText" dxfId="2434" priority="10977" operator="containsText" text="祝">
      <formula>NOT(ISERROR(SEARCH("祝",AA42)))</formula>
    </cfRule>
    <cfRule type="containsText" dxfId="2433" priority="10978" operator="containsText" text="祝">
      <formula>NOT(ISERROR(SEARCH("祝",AA42)))</formula>
    </cfRule>
    <cfRule type="containsText" dxfId="2432" priority="10979" operator="containsText" text="祝">
      <formula>NOT(ISERROR(SEARCH("祝",AA42)))</formula>
    </cfRule>
    <cfRule type="containsText" dxfId="2431" priority="10980" operator="containsText" text="祝">
      <formula>NOT(ISERROR(SEARCH("祝",AA42)))</formula>
    </cfRule>
    <cfRule type="containsText" dxfId="2430" priority="10981" operator="containsText" text="盆">
      <formula>NOT(ISERROR(SEARCH("盆",AA42)))</formula>
    </cfRule>
  </conditionalFormatting>
  <conditionalFormatting sqref="AB42">
    <cfRule type="containsText" dxfId="2429" priority="10958" operator="containsText" text="正">
      <formula>NOT(ISERROR(SEARCH("正",AB42)))</formula>
    </cfRule>
    <cfRule type="containsText" dxfId="2428" priority="10959" operator="containsText" text="Ｇ">
      <formula>NOT(ISERROR(SEARCH("Ｇ",AB42)))</formula>
    </cfRule>
    <cfRule type="containsText" dxfId="2427" priority="10960" operator="containsText" text="祝">
      <formula>NOT(ISERROR(SEARCH("祝",AB42)))</formula>
    </cfRule>
    <cfRule type="containsText" dxfId="2426" priority="10961" operator="containsText" text="祝">
      <formula>NOT(ISERROR(SEARCH("祝",AB42)))</formula>
    </cfRule>
    <cfRule type="containsText" dxfId="2425" priority="10962" operator="containsText" text="祝">
      <formula>NOT(ISERROR(SEARCH("祝",AB42)))</formula>
    </cfRule>
    <cfRule type="containsText" dxfId="2424" priority="10963" operator="containsText" text="祝">
      <formula>NOT(ISERROR(SEARCH("祝",AB42)))</formula>
    </cfRule>
    <cfRule type="containsText" dxfId="2423" priority="10964" operator="containsText" text="祝">
      <formula>NOT(ISERROR(SEARCH("祝",AB42)))</formula>
    </cfRule>
    <cfRule type="containsText" dxfId="2422" priority="10965" operator="containsText" text="盆">
      <formula>NOT(ISERROR(SEARCH("盆",AB42)))</formula>
    </cfRule>
  </conditionalFormatting>
  <conditionalFormatting sqref="C48">
    <cfRule type="containsText" dxfId="2421" priority="10942" operator="containsText" text="正">
      <formula>NOT(ISERROR(SEARCH("正",C48)))</formula>
    </cfRule>
    <cfRule type="containsText" dxfId="2420" priority="10943" operator="containsText" text="Ｇ">
      <formula>NOT(ISERROR(SEARCH("Ｇ",C48)))</formula>
    </cfRule>
    <cfRule type="containsText" dxfId="2419" priority="10944" operator="containsText" text="祝">
      <formula>NOT(ISERROR(SEARCH("祝",C48)))</formula>
    </cfRule>
    <cfRule type="containsText" dxfId="2418" priority="10945" operator="containsText" text="祝">
      <formula>NOT(ISERROR(SEARCH("祝",C48)))</formula>
    </cfRule>
    <cfRule type="containsText" dxfId="2417" priority="10946" operator="containsText" text="祝">
      <formula>NOT(ISERROR(SEARCH("祝",C48)))</formula>
    </cfRule>
    <cfRule type="containsText" dxfId="2416" priority="10947" operator="containsText" text="祝">
      <formula>NOT(ISERROR(SEARCH("祝",C48)))</formula>
    </cfRule>
    <cfRule type="containsText" dxfId="2415" priority="10948" operator="containsText" text="祝">
      <formula>NOT(ISERROR(SEARCH("祝",C48)))</formula>
    </cfRule>
    <cfRule type="containsText" dxfId="2414" priority="10949" operator="containsText" text="盆">
      <formula>NOT(ISERROR(SEARCH("盆",C48)))</formula>
    </cfRule>
  </conditionalFormatting>
  <conditionalFormatting sqref="D48">
    <cfRule type="containsText" dxfId="2413" priority="10926" operator="containsText" text="正">
      <formula>NOT(ISERROR(SEARCH("正",D48)))</formula>
    </cfRule>
    <cfRule type="containsText" dxfId="2412" priority="10927" operator="containsText" text="Ｇ">
      <formula>NOT(ISERROR(SEARCH("Ｇ",D48)))</formula>
    </cfRule>
    <cfRule type="containsText" dxfId="2411" priority="10928" operator="containsText" text="祝">
      <formula>NOT(ISERROR(SEARCH("祝",D48)))</formula>
    </cfRule>
    <cfRule type="containsText" dxfId="2410" priority="10929" operator="containsText" text="祝">
      <formula>NOT(ISERROR(SEARCH("祝",D48)))</formula>
    </cfRule>
    <cfRule type="containsText" dxfId="2409" priority="10930" operator="containsText" text="祝">
      <formula>NOT(ISERROR(SEARCH("祝",D48)))</formula>
    </cfRule>
    <cfRule type="containsText" dxfId="2408" priority="10931" operator="containsText" text="祝">
      <formula>NOT(ISERROR(SEARCH("祝",D48)))</formula>
    </cfRule>
    <cfRule type="containsText" dxfId="2407" priority="10932" operator="containsText" text="祝">
      <formula>NOT(ISERROR(SEARCH("祝",D48)))</formula>
    </cfRule>
    <cfRule type="containsText" dxfId="2406" priority="10933" operator="containsText" text="盆">
      <formula>NOT(ISERROR(SEARCH("盆",D48)))</formula>
    </cfRule>
  </conditionalFormatting>
  <conditionalFormatting sqref="J48">
    <cfRule type="containsText" dxfId="2405" priority="10910" operator="containsText" text="正">
      <formula>NOT(ISERROR(SEARCH("正",J48)))</formula>
    </cfRule>
    <cfRule type="containsText" dxfId="2404" priority="10911" operator="containsText" text="Ｇ">
      <formula>NOT(ISERROR(SEARCH("Ｇ",J48)))</formula>
    </cfRule>
    <cfRule type="containsText" dxfId="2403" priority="10912" operator="containsText" text="祝">
      <formula>NOT(ISERROR(SEARCH("祝",J48)))</formula>
    </cfRule>
    <cfRule type="containsText" dxfId="2402" priority="10913" operator="containsText" text="祝">
      <formula>NOT(ISERROR(SEARCH("祝",J48)))</formula>
    </cfRule>
    <cfRule type="containsText" dxfId="2401" priority="10914" operator="containsText" text="祝">
      <formula>NOT(ISERROR(SEARCH("祝",J48)))</formula>
    </cfRule>
    <cfRule type="containsText" dxfId="2400" priority="10915" operator="containsText" text="祝">
      <formula>NOT(ISERROR(SEARCH("祝",J48)))</formula>
    </cfRule>
    <cfRule type="containsText" dxfId="2399" priority="10916" operator="containsText" text="祝">
      <formula>NOT(ISERROR(SEARCH("祝",J48)))</formula>
    </cfRule>
    <cfRule type="containsText" dxfId="2398" priority="10917" operator="containsText" text="盆">
      <formula>NOT(ISERROR(SEARCH("盆",J48)))</formula>
    </cfRule>
  </conditionalFormatting>
  <conditionalFormatting sqref="K48">
    <cfRule type="containsText" dxfId="2397" priority="10894" operator="containsText" text="正">
      <formula>NOT(ISERROR(SEARCH("正",K48)))</formula>
    </cfRule>
    <cfRule type="containsText" dxfId="2396" priority="10895" operator="containsText" text="Ｇ">
      <formula>NOT(ISERROR(SEARCH("Ｇ",K48)))</formula>
    </cfRule>
    <cfRule type="containsText" dxfId="2395" priority="10896" operator="containsText" text="祝">
      <formula>NOT(ISERROR(SEARCH("祝",K48)))</formula>
    </cfRule>
    <cfRule type="containsText" dxfId="2394" priority="10897" operator="containsText" text="祝">
      <formula>NOT(ISERROR(SEARCH("祝",K48)))</formula>
    </cfRule>
    <cfRule type="containsText" dxfId="2393" priority="10898" operator="containsText" text="祝">
      <formula>NOT(ISERROR(SEARCH("祝",K48)))</formula>
    </cfRule>
    <cfRule type="containsText" dxfId="2392" priority="10899" operator="containsText" text="祝">
      <formula>NOT(ISERROR(SEARCH("祝",K48)))</formula>
    </cfRule>
    <cfRule type="containsText" dxfId="2391" priority="10900" operator="containsText" text="祝">
      <formula>NOT(ISERROR(SEARCH("祝",K48)))</formula>
    </cfRule>
    <cfRule type="containsText" dxfId="2390" priority="10901" operator="containsText" text="盆">
      <formula>NOT(ISERROR(SEARCH("盆",K48)))</formula>
    </cfRule>
  </conditionalFormatting>
  <conditionalFormatting sqref="Q48">
    <cfRule type="containsText" dxfId="2389" priority="10878" operator="containsText" text="正">
      <formula>NOT(ISERROR(SEARCH("正",Q48)))</formula>
    </cfRule>
    <cfRule type="containsText" dxfId="2388" priority="10879" operator="containsText" text="Ｇ">
      <formula>NOT(ISERROR(SEARCH("Ｇ",Q48)))</formula>
    </cfRule>
    <cfRule type="containsText" dxfId="2387" priority="10880" operator="containsText" text="祝">
      <formula>NOT(ISERROR(SEARCH("祝",Q48)))</formula>
    </cfRule>
    <cfRule type="containsText" dxfId="2386" priority="10881" operator="containsText" text="祝">
      <formula>NOT(ISERROR(SEARCH("祝",Q48)))</formula>
    </cfRule>
    <cfRule type="containsText" dxfId="2385" priority="10882" operator="containsText" text="祝">
      <formula>NOT(ISERROR(SEARCH("祝",Q48)))</formula>
    </cfRule>
    <cfRule type="containsText" dxfId="2384" priority="10883" operator="containsText" text="祝">
      <formula>NOT(ISERROR(SEARCH("祝",Q48)))</formula>
    </cfRule>
    <cfRule type="containsText" dxfId="2383" priority="10884" operator="containsText" text="祝">
      <formula>NOT(ISERROR(SEARCH("祝",Q48)))</formula>
    </cfRule>
    <cfRule type="containsText" dxfId="2382" priority="10885" operator="containsText" text="盆">
      <formula>NOT(ISERROR(SEARCH("盆",Q48)))</formula>
    </cfRule>
  </conditionalFormatting>
  <conditionalFormatting sqref="R48">
    <cfRule type="containsText" dxfId="2381" priority="10862" operator="containsText" text="正">
      <formula>NOT(ISERROR(SEARCH("正",R48)))</formula>
    </cfRule>
    <cfRule type="containsText" dxfId="2380" priority="10863" operator="containsText" text="Ｇ">
      <formula>NOT(ISERROR(SEARCH("Ｇ",R48)))</formula>
    </cfRule>
    <cfRule type="containsText" dxfId="2379" priority="10864" operator="containsText" text="祝">
      <formula>NOT(ISERROR(SEARCH("祝",R48)))</formula>
    </cfRule>
    <cfRule type="containsText" dxfId="2378" priority="10865" operator="containsText" text="祝">
      <formula>NOT(ISERROR(SEARCH("祝",R48)))</formula>
    </cfRule>
    <cfRule type="containsText" dxfId="2377" priority="10866" operator="containsText" text="祝">
      <formula>NOT(ISERROR(SEARCH("祝",R48)))</formula>
    </cfRule>
    <cfRule type="containsText" dxfId="2376" priority="10867" operator="containsText" text="祝">
      <formula>NOT(ISERROR(SEARCH("祝",R48)))</formula>
    </cfRule>
    <cfRule type="containsText" dxfId="2375" priority="10868" operator="containsText" text="祝">
      <formula>NOT(ISERROR(SEARCH("祝",R48)))</formula>
    </cfRule>
    <cfRule type="containsText" dxfId="2374" priority="10869" operator="containsText" text="盆">
      <formula>NOT(ISERROR(SEARCH("盆",R48)))</formula>
    </cfRule>
  </conditionalFormatting>
  <conditionalFormatting sqref="X48">
    <cfRule type="containsText" dxfId="2373" priority="10846" operator="containsText" text="正">
      <formula>NOT(ISERROR(SEARCH("正",X48)))</formula>
    </cfRule>
    <cfRule type="containsText" dxfId="2372" priority="10847" operator="containsText" text="Ｇ">
      <formula>NOT(ISERROR(SEARCH("Ｇ",X48)))</formula>
    </cfRule>
    <cfRule type="containsText" dxfId="2371" priority="10848" operator="containsText" text="祝">
      <formula>NOT(ISERROR(SEARCH("祝",X48)))</formula>
    </cfRule>
    <cfRule type="containsText" dxfId="2370" priority="10849" operator="containsText" text="祝">
      <formula>NOT(ISERROR(SEARCH("祝",X48)))</formula>
    </cfRule>
    <cfRule type="containsText" dxfId="2369" priority="10850" operator="containsText" text="祝">
      <formula>NOT(ISERROR(SEARCH("祝",X48)))</formula>
    </cfRule>
    <cfRule type="containsText" dxfId="2368" priority="10851" operator="containsText" text="祝">
      <formula>NOT(ISERROR(SEARCH("祝",X48)))</formula>
    </cfRule>
    <cfRule type="containsText" dxfId="2367" priority="10852" operator="containsText" text="祝">
      <formula>NOT(ISERROR(SEARCH("祝",X48)))</formula>
    </cfRule>
    <cfRule type="containsText" dxfId="2366" priority="10853" operator="containsText" text="盆">
      <formula>NOT(ISERROR(SEARCH("盆",X48)))</formula>
    </cfRule>
  </conditionalFormatting>
  <conditionalFormatting sqref="Y48">
    <cfRule type="containsText" dxfId="2365" priority="10830" operator="containsText" text="正">
      <formula>NOT(ISERROR(SEARCH("正",Y48)))</formula>
    </cfRule>
    <cfRule type="containsText" dxfId="2364" priority="10831" operator="containsText" text="Ｇ">
      <formula>NOT(ISERROR(SEARCH("Ｇ",Y48)))</formula>
    </cfRule>
    <cfRule type="containsText" dxfId="2363" priority="10832" operator="containsText" text="祝">
      <formula>NOT(ISERROR(SEARCH("祝",Y48)))</formula>
    </cfRule>
    <cfRule type="containsText" dxfId="2362" priority="10833" operator="containsText" text="祝">
      <formula>NOT(ISERROR(SEARCH("祝",Y48)))</formula>
    </cfRule>
    <cfRule type="containsText" dxfId="2361" priority="10834" operator="containsText" text="祝">
      <formula>NOT(ISERROR(SEARCH("祝",Y48)))</formula>
    </cfRule>
    <cfRule type="containsText" dxfId="2360" priority="10835" operator="containsText" text="祝">
      <formula>NOT(ISERROR(SEARCH("祝",Y48)))</formula>
    </cfRule>
    <cfRule type="containsText" dxfId="2359" priority="10836" operator="containsText" text="祝">
      <formula>NOT(ISERROR(SEARCH("祝",Y48)))</formula>
    </cfRule>
    <cfRule type="containsText" dxfId="2358" priority="10837" operator="containsText" text="盆">
      <formula>NOT(ISERROR(SEARCH("盆",Y48)))</formula>
    </cfRule>
  </conditionalFormatting>
  <conditionalFormatting sqref="V54">
    <cfRule type="containsText" dxfId="2357" priority="10718" operator="containsText" text="正">
      <formula>NOT(ISERROR(SEARCH("正",V54)))</formula>
    </cfRule>
    <cfRule type="containsText" dxfId="2356" priority="10719" operator="containsText" text="Ｇ">
      <formula>NOT(ISERROR(SEARCH("Ｇ",V54)))</formula>
    </cfRule>
    <cfRule type="containsText" dxfId="2355" priority="10720" operator="containsText" text="祝">
      <formula>NOT(ISERROR(SEARCH("祝",V54)))</formula>
    </cfRule>
    <cfRule type="containsText" dxfId="2354" priority="10721" operator="containsText" text="祝">
      <formula>NOT(ISERROR(SEARCH("祝",V54)))</formula>
    </cfRule>
    <cfRule type="containsText" dxfId="2353" priority="10722" operator="containsText" text="祝">
      <formula>NOT(ISERROR(SEARCH("祝",V54)))</formula>
    </cfRule>
    <cfRule type="containsText" dxfId="2352" priority="10723" operator="containsText" text="祝">
      <formula>NOT(ISERROR(SEARCH("祝",V54)))</formula>
    </cfRule>
    <cfRule type="containsText" dxfId="2351" priority="10724" operator="containsText" text="祝">
      <formula>NOT(ISERROR(SEARCH("祝",V54)))</formula>
    </cfRule>
    <cfRule type="containsText" dxfId="2350" priority="10725" operator="containsText" text="盆">
      <formula>NOT(ISERROR(SEARCH("盆",V54)))</formula>
    </cfRule>
  </conditionalFormatting>
  <conditionalFormatting sqref="W54">
    <cfRule type="containsText" dxfId="2349" priority="10702" operator="containsText" text="正">
      <formula>NOT(ISERROR(SEARCH("正",W54)))</formula>
    </cfRule>
    <cfRule type="containsText" dxfId="2348" priority="10703" operator="containsText" text="Ｇ">
      <formula>NOT(ISERROR(SEARCH("Ｇ",W54)))</formula>
    </cfRule>
    <cfRule type="containsText" dxfId="2347" priority="10704" operator="containsText" text="祝">
      <formula>NOT(ISERROR(SEARCH("祝",W54)))</formula>
    </cfRule>
    <cfRule type="containsText" dxfId="2346" priority="10705" operator="containsText" text="祝">
      <formula>NOT(ISERROR(SEARCH("祝",W54)))</formula>
    </cfRule>
    <cfRule type="containsText" dxfId="2345" priority="10706" operator="containsText" text="祝">
      <formula>NOT(ISERROR(SEARCH("祝",W54)))</formula>
    </cfRule>
    <cfRule type="containsText" dxfId="2344" priority="10707" operator="containsText" text="祝">
      <formula>NOT(ISERROR(SEARCH("祝",W54)))</formula>
    </cfRule>
    <cfRule type="containsText" dxfId="2343" priority="10708" operator="containsText" text="祝">
      <formula>NOT(ISERROR(SEARCH("祝",W54)))</formula>
    </cfRule>
    <cfRule type="containsText" dxfId="2342" priority="10709" operator="containsText" text="盆">
      <formula>NOT(ISERROR(SEARCH("盆",W54)))</formula>
    </cfRule>
  </conditionalFormatting>
  <conditionalFormatting sqref="AC54">
    <cfRule type="containsText" dxfId="2341" priority="10686" operator="containsText" text="正">
      <formula>NOT(ISERROR(SEARCH("正",AC54)))</formula>
    </cfRule>
    <cfRule type="containsText" dxfId="2340" priority="10687" operator="containsText" text="Ｇ">
      <formula>NOT(ISERROR(SEARCH("Ｇ",AC54)))</formula>
    </cfRule>
    <cfRule type="containsText" dxfId="2339" priority="10688" operator="containsText" text="祝">
      <formula>NOT(ISERROR(SEARCH("祝",AC54)))</formula>
    </cfRule>
    <cfRule type="containsText" dxfId="2338" priority="10689" operator="containsText" text="祝">
      <formula>NOT(ISERROR(SEARCH("祝",AC54)))</formula>
    </cfRule>
    <cfRule type="containsText" dxfId="2337" priority="10690" operator="containsText" text="祝">
      <formula>NOT(ISERROR(SEARCH("祝",AC54)))</formula>
    </cfRule>
    <cfRule type="containsText" dxfId="2336" priority="10691" operator="containsText" text="祝">
      <formula>NOT(ISERROR(SEARCH("祝",AC54)))</formula>
    </cfRule>
    <cfRule type="containsText" dxfId="2335" priority="10692" operator="containsText" text="祝">
      <formula>NOT(ISERROR(SEARCH("祝",AC54)))</formula>
    </cfRule>
    <cfRule type="containsText" dxfId="2334" priority="10693" operator="containsText" text="盆">
      <formula>NOT(ISERROR(SEARCH("盆",AC54)))</formula>
    </cfRule>
  </conditionalFormatting>
  <conditionalFormatting sqref="AD54">
    <cfRule type="containsText" dxfId="2333" priority="10670" operator="containsText" text="正">
      <formula>NOT(ISERROR(SEARCH("正",AD54)))</formula>
    </cfRule>
    <cfRule type="containsText" dxfId="2332" priority="10671" operator="containsText" text="Ｇ">
      <formula>NOT(ISERROR(SEARCH("Ｇ",AD54)))</formula>
    </cfRule>
    <cfRule type="containsText" dxfId="2331" priority="10672" operator="containsText" text="祝">
      <formula>NOT(ISERROR(SEARCH("祝",AD54)))</formula>
    </cfRule>
    <cfRule type="containsText" dxfId="2330" priority="10673" operator="containsText" text="祝">
      <formula>NOT(ISERROR(SEARCH("祝",AD54)))</formula>
    </cfRule>
    <cfRule type="containsText" dxfId="2329" priority="10674" operator="containsText" text="祝">
      <formula>NOT(ISERROR(SEARCH("祝",AD54)))</formula>
    </cfRule>
    <cfRule type="containsText" dxfId="2328" priority="10675" operator="containsText" text="祝">
      <formula>NOT(ISERROR(SEARCH("祝",AD54)))</formula>
    </cfRule>
    <cfRule type="containsText" dxfId="2327" priority="10676" operator="containsText" text="祝">
      <formula>NOT(ISERROR(SEARCH("祝",AD54)))</formula>
    </cfRule>
    <cfRule type="containsText" dxfId="2326" priority="10677" operator="containsText" text="盆">
      <formula>NOT(ISERROR(SEARCH("盆",AD54)))</formula>
    </cfRule>
  </conditionalFormatting>
  <conditionalFormatting sqref="F60">
    <cfRule type="containsText" dxfId="2325" priority="10590" operator="containsText" text="正">
      <formula>NOT(ISERROR(SEARCH("正",F60)))</formula>
    </cfRule>
    <cfRule type="containsText" dxfId="2324" priority="10591" operator="containsText" text="Ｇ">
      <formula>NOT(ISERROR(SEARCH("Ｇ",F60)))</formula>
    </cfRule>
    <cfRule type="containsText" dxfId="2323" priority="10592" operator="containsText" text="祝">
      <formula>NOT(ISERROR(SEARCH("祝",F60)))</formula>
    </cfRule>
    <cfRule type="containsText" dxfId="2322" priority="10593" operator="containsText" text="祝">
      <formula>NOT(ISERROR(SEARCH("祝",F60)))</formula>
    </cfRule>
    <cfRule type="containsText" dxfId="2321" priority="10594" operator="containsText" text="祝">
      <formula>NOT(ISERROR(SEARCH("祝",F60)))</formula>
    </cfRule>
    <cfRule type="containsText" dxfId="2320" priority="10595" operator="containsText" text="祝">
      <formula>NOT(ISERROR(SEARCH("祝",F60)))</formula>
    </cfRule>
    <cfRule type="containsText" dxfId="2319" priority="10596" operator="containsText" text="祝">
      <formula>NOT(ISERROR(SEARCH("祝",F60)))</formula>
    </cfRule>
    <cfRule type="containsText" dxfId="2318" priority="10597" operator="containsText" text="盆">
      <formula>NOT(ISERROR(SEARCH("盆",F60)))</formula>
    </cfRule>
  </conditionalFormatting>
  <conditionalFormatting sqref="L60">
    <cfRule type="containsText" dxfId="2317" priority="10574" operator="containsText" text="正">
      <formula>NOT(ISERROR(SEARCH("正",L60)))</formula>
    </cfRule>
    <cfRule type="containsText" dxfId="2316" priority="10575" operator="containsText" text="Ｇ">
      <formula>NOT(ISERROR(SEARCH("Ｇ",L60)))</formula>
    </cfRule>
    <cfRule type="containsText" dxfId="2315" priority="10576" operator="containsText" text="祝">
      <formula>NOT(ISERROR(SEARCH("祝",L60)))</formula>
    </cfRule>
    <cfRule type="containsText" dxfId="2314" priority="10577" operator="containsText" text="祝">
      <formula>NOT(ISERROR(SEARCH("祝",L60)))</formula>
    </cfRule>
    <cfRule type="containsText" dxfId="2313" priority="10578" operator="containsText" text="祝">
      <formula>NOT(ISERROR(SEARCH("祝",L60)))</formula>
    </cfRule>
    <cfRule type="containsText" dxfId="2312" priority="10579" operator="containsText" text="祝">
      <formula>NOT(ISERROR(SEARCH("祝",L60)))</formula>
    </cfRule>
    <cfRule type="containsText" dxfId="2311" priority="10580" operator="containsText" text="祝">
      <formula>NOT(ISERROR(SEARCH("祝",L60)))</formula>
    </cfRule>
    <cfRule type="containsText" dxfId="2310" priority="10581" operator="containsText" text="盆">
      <formula>NOT(ISERROR(SEARCH("盆",L60)))</formula>
    </cfRule>
  </conditionalFormatting>
  <conditionalFormatting sqref="M60">
    <cfRule type="containsText" dxfId="2309" priority="10558" operator="containsText" text="正">
      <formula>NOT(ISERROR(SEARCH("正",M60)))</formula>
    </cfRule>
    <cfRule type="containsText" dxfId="2308" priority="10559" operator="containsText" text="Ｇ">
      <formula>NOT(ISERROR(SEARCH("Ｇ",M60)))</formula>
    </cfRule>
    <cfRule type="containsText" dxfId="2307" priority="10560" operator="containsText" text="祝">
      <formula>NOT(ISERROR(SEARCH("祝",M60)))</formula>
    </cfRule>
    <cfRule type="containsText" dxfId="2306" priority="10561" operator="containsText" text="祝">
      <formula>NOT(ISERROR(SEARCH("祝",M60)))</formula>
    </cfRule>
    <cfRule type="containsText" dxfId="2305" priority="10562" operator="containsText" text="祝">
      <formula>NOT(ISERROR(SEARCH("祝",M60)))</formula>
    </cfRule>
    <cfRule type="containsText" dxfId="2304" priority="10563" operator="containsText" text="祝">
      <formula>NOT(ISERROR(SEARCH("祝",M60)))</formula>
    </cfRule>
    <cfRule type="containsText" dxfId="2303" priority="10564" operator="containsText" text="祝">
      <formula>NOT(ISERROR(SEARCH("祝",M60)))</formula>
    </cfRule>
    <cfRule type="containsText" dxfId="2302" priority="10565" operator="containsText" text="盆">
      <formula>NOT(ISERROR(SEARCH("盆",M60)))</formula>
    </cfRule>
  </conditionalFormatting>
  <conditionalFormatting sqref="S60">
    <cfRule type="containsText" dxfId="2301" priority="10542" operator="containsText" text="正">
      <formula>NOT(ISERROR(SEARCH("正",S60)))</formula>
    </cfRule>
    <cfRule type="containsText" dxfId="2300" priority="10543" operator="containsText" text="Ｇ">
      <formula>NOT(ISERROR(SEARCH("Ｇ",S60)))</formula>
    </cfRule>
    <cfRule type="containsText" dxfId="2299" priority="10544" operator="containsText" text="祝">
      <formula>NOT(ISERROR(SEARCH("祝",S60)))</formula>
    </cfRule>
    <cfRule type="containsText" dxfId="2298" priority="10545" operator="containsText" text="祝">
      <formula>NOT(ISERROR(SEARCH("祝",S60)))</formula>
    </cfRule>
    <cfRule type="containsText" dxfId="2297" priority="10546" operator="containsText" text="祝">
      <formula>NOT(ISERROR(SEARCH("祝",S60)))</formula>
    </cfRule>
    <cfRule type="containsText" dxfId="2296" priority="10547" operator="containsText" text="祝">
      <formula>NOT(ISERROR(SEARCH("祝",S60)))</formula>
    </cfRule>
    <cfRule type="containsText" dxfId="2295" priority="10548" operator="containsText" text="祝">
      <formula>NOT(ISERROR(SEARCH("祝",S60)))</formula>
    </cfRule>
    <cfRule type="containsText" dxfId="2294" priority="10549" operator="containsText" text="盆">
      <formula>NOT(ISERROR(SEARCH("盆",S60)))</formula>
    </cfRule>
  </conditionalFormatting>
  <conditionalFormatting sqref="T60">
    <cfRule type="containsText" dxfId="2293" priority="10526" operator="containsText" text="正">
      <formula>NOT(ISERROR(SEARCH("正",T60)))</formula>
    </cfRule>
    <cfRule type="containsText" dxfId="2292" priority="10527" operator="containsText" text="Ｇ">
      <formula>NOT(ISERROR(SEARCH("Ｇ",T60)))</formula>
    </cfRule>
    <cfRule type="containsText" dxfId="2291" priority="10528" operator="containsText" text="祝">
      <formula>NOT(ISERROR(SEARCH("祝",T60)))</formula>
    </cfRule>
    <cfRule type="containsText" dxfId="2290" priority="10529" operator="containsText" text="祝">
      <formula>NOT(ISERROR(SEARCH("祝",T60)))</formula>
    </cfRule>
    <cfRule type="containsText" dxfId="2289" priority="10530" operator="containsText" text="祝">
      <formula>NOT(ISERROR(SEARCH("祝",T60)))</formula>
    </cfRule>
    <cfRule type="containsText" dxfId="2288" priority="10531" operator="containsText" text="祝">
      <formula>NOT(ISERROR(SEARCH("祝",T60)))</formula>
    </cfRule>
    <cfRule type="containsText" dxfId="2287" priority="10532" operator="containsText" text="祝">
      <formula>NOT(ISERROR(SEARCH("祝",T60)))</formula>
    </cfRule>
    <cfRule type="containsText" dxfId="2286" priority="10533" operator="containsText" text="盆">
      <formula>NOT(ISERROR(SEARCH("盆",T60)))</formula>
    </cfRule>
  </conditionalFormatting>
  <conditionalFormatting sqref="Z60">
    <cfRule type="containsText" dxfId="2285" priority="10510" operator="containsText" text="正">
      <formula>NOT(ISERROR(SEARCH("正",Z60)))</formula>
    </cfRule>
    <cfRule type="containsText" dxfId="2284" priority="10511" operator="containsText" text="Ｇ">
      <formula>NOT(ISERROR(SEARCH("Ｇ",Z60)))</formula>
    </cfRule>
    <cfRule type="containsText" dxfId="2283" priority="10512" operator="containsText" text="祝">
      <formula>NOT(ISERROR(SEARCH("祝",Z60)))</formula>
    </cfRule>
    <cfRule type="containsText" dxfId="2282" priority="10513" operator="containsText" text="祝">
      <formula>NOT(ISERROR(SEARCH("祝",Z60)))</formula>
    </cfRule>
    <cfRule type="containsText" dxfId="2281" priority="10514" operator="containsText" text="祝">
      <formula>NOT(ISERROR(SEARCH("祝",Z60)))</formula>
    </cfRule>
    <cfRule type="containsText" dxfId="2280" priority="10515" operator="containsText" text="祝">
      <formula>NOT(ISERROR(SEARCH("祝",Z60)))</formula>
    </cfRule>
    <cfRule type="containsText" dxfId="2279" priority="10516" operator="containsText" text="祝">
      <formula>NOT(ISERROR(SEARCH("祝",Z60)))</formula>
    </cfRule>
    <cfRule type="containsText" dxfId="2278" priority="10517" operator="containsText" text="盆">
      <formula>NOT(ISERROR(SEARCH("盆",Z60)))</formula>
    </cfRule>
  </conditionalFormatting>
  <conditionalFormatting sqref="AA60">
    <cfRule type="containsText" dxfId="2277" priority="10494" operator="containsText" text="正">
      <formula>NOT(ISERROR(SEARCH("正",AA60)))</formula>
    </cfRule>
    <cfRule type="containsText" dxfId="2276" priority="10495" operator="containsText" text="Ｇ">
      <formula>NOT(ISERROR(SEARCH("Ｇ",AA60)))</formula>
    </cfRule>
    <cfRule type="containsText" dxfId="2275" priority="10496" operator="containsText" text="祝">
      <formula>NOT(ISERROR(SEARCH("祝",AA60)))</formula>
    </cfRule>
    <cfRule type="containsText" dxfId="2274" priority="10497" operator="containsText" text="祝">
      <formula>NOT(ISERROR(SEARCH("祝",AA60)))</formula>
    </cfRule>
    <cfRule type="containsText" dxfId="2273" priority="10498" operator="containsText" text="祝">
      <formula>NOT(ISERROR(SEARCH("祝",AA60)))</formula>
    </cfRule>
    <cfRule type="containsText" dxfId="2272" priority="10499" operator="containsText" text="祝">
      <formula>NOT(ISERROR(SEARCH("祝",AA60)))</formula>
    </cfRule>
    <cfRule type="containsText" dxfId="2271" priority="10500" operator="containsText" text="祝">
      <formula>NOT(ISERROR(SEARCH("祝",AA60)))</formula>
    </cfRule>
    <cfRule type="containsText" dxfId="2270" priority="10501" operator="containsText" text="盆">
      <formula>NOT(ISERROR(SEARCH("盆",AA60)))</formula>
    </cfRule>
  </conditionalFormatting>
  <conditionalFormatting sqref="C66">
    <cfRule type="containsText" dxfId="2269" priority="10462" operator="containsText" text="正">
      <formula>NOT(ISERROR(SEARCH("正",C66)))</formula>
    </cfRule>
    <cfRule type="containsText" dxfId="2268" priority="10463" operator="containsText" text="Ｇ">
      <formula>NOT(ISERROR(SEARCH("Ｇ",C66)))</formula>
    </cfRule>
    <cfRule type="containsText" dxfId="2267" priority="10464" operator="containsText" text="祝">
      <formula>NOT(ISERROR(SEARCH("祝",C66)))</formula>
    </cfRule>
    <cfRule type="containsText" dxfId="2266" priority="10465" operator="containsText" text="祝">
      <formula>NOT(ISERROR(SEARCH("祝",C66)))</formula>
    </cfRule>
    <cfRule type="containsText" dxfId="2265" priority="10466" operator="containsText" text="祝">
      <formula>NOT(ISERROR(SEARCH("祝",C66)))</formula>
    </cfRule>
    <cfRule type="containsText" dxfId="2264" priority="10467" operator="containsText" text="祝">
      <formula>NOT(ISERROR(SEARCH("祝",C66)))</formula>
    </cfRule>
    <cfRule type="containsText" dxfId="2263" priority="10468" operator="containsText" text="祝">
      <formula>NOT(ISERROR(SEARCH("祝",C66)))</formula>
    </cfRule>
    <cfRule type="containsText" dxfId="2262" priority="10469" operator="containsText" text="盆">
      <formula>NOT(ISERROR(SEARCH("盆",C66)))</formula>
    </cfRule>
  </conditionalFormatting>
  <conditionalFormatting sqref="I66">
    <cfRule type="containsText" dxfId="2261" priority="10446" operator="containsText" text="正">
      <formula>NOT(ISERROR(SEARCH("正",I66)))</formula>
    </cfRule>
    <cfRule type="containsText" dxfId="2260" priority="10447" operator="containsText" text="Ｇ">
      <formula>NOT(ISERROR(SEARCH("Ｇ",I66)))</formula>
    </cfRule>
    <cfRule type="containsText" dxfId="2259" priority="10448" operator="containsText" text="祝">
      <formula>NOT(ISERROR(SEARCH("祝",I66)))</formula>
    </cfRule>
    <cfRule type="containsText" dxfId="2258" priority="10449" operator="containsText" text="祝">
      <formula>NOT(ISERROR(SEARCH("祝",I66)))</formula>
    </cfRule>
    <cfRule type="containsText" dxfId="2257" priority="10450" operator="containsText" text="祝">
      <formula>NOT(ISERROR(SEARCH("祝",I66)))</formula>
    </cfRule>
    <cfRule type="containsText" dxfId="2256" priority="10451" operator="containsText" text="祝">
      <formula>NOT(ISERROR(SEARCH("祝",I66)))</formula>
    </cfRule>
    <cfRule type="containsText" dxfId="2255" priority="10452" operator="containsText" text="祝">
      <formula>NOT(ISERROR(SEARCH("祝",I66)))</formula>
    </cfRule>
    <cfRule type="containsText" dxfId="2254" priority="10453" operator="containsText" text="盆">
      <formula>NOT(ISERROR(SEARCH("盆",I66)))</formula>
    </cfRule>
  </conditionalFormatting>
  <conditionalFormatting sqref="J66">
    <cfRule type="containsText" dxfId="2253" priority="10430" operator="containsText" text="正">
      <formula>NOT(ISERROR(SEARCH("正",J66)))</formula>
    </cfRule>
    <cfRule type="containsText" dxfId="2252" priority="10431" operator="containsText" text="Ｇ">
      <formula>NOT(ISERROR(SEARCH("Ｇ",J66)))</formula>
    </cfRule>
    <cfRule type="containsText" dxfId="2251" priority="10432" operator="containsText" text="祝">
      <formula>NOT(ISERROR(SEARCH("祝",J66)))</formula>
    </cfRule>
    <cfRule type="containsText" dxfId="2250" priority="10433" operator="containsText" text="祝">
      <formula>NOT(ISERROR(SEARCH("祝",J66)))</formula>
    </cfRule>
    <cfRule type="containsText" dxfId="2249" priority="10434" operator="containsText" text="祝">
      <formula>NOT(ISERROR(SEARCH("祝",J66)))</formula>
    </cfRule>
    <cfRule type="containsText" dxfId="2248" priority="10435" operator="containsText" text="祝">
      <formula>NOT(ISERROR(SEARCH("祝",J66)))</formula>
    </cfRule>
    <cfRule type="containsText" dxfId="2247" priority="10436" operator="containsText" text="祝">
      <formula>NOT(ISERROR(SEARCH("祝",J66)))</formula>
    </cfRule>
    <cfRule type="containsText" dxfId="2246" priority="10437" operator="containsText" text="盆">
      <formula>NOT(ISERROR(SEARCH("盆",J66)))</formula>
    </cfRule>
  </conditionalFormatting>
  <conditionalFormatting sqref="P66">
    <cfRule type="containsText" dxfId="2245" priority="10414" operator="containsText" text="正">
      <formula>NOT(ISERROR(SEARCH("正",P66)))</formula>
    </cfRule>
    <cfRule type="containsText" dxfId="2244" priority="10415" operator="containsText" text="Ｇ">
      <formula>NOT(ISERROR(SEARCH("Ｇ",P66)))</formula>
    </cfRule>
    <cfRule type="containsText" dxfId="2243" priority="10416" operator="containsText" text="祝">
      <formula>NOT(ISERROR(SEARCH("祝",P66)))</formula>
    </cfRule>
    <cfRule type="containsText" dxfId="2242" priority="10417" operator="containsText" text="祝">
      <formula>NOT(ISERROR(SEARCH("祝",P66)))</formula>
    </cfRule>
    <cfRule type="containsText" dxfId="2241" priority="10418" operator="containsText" text="祝">
      <formula>NOT(ISERROR(SEARCH("祝",P66)))</formula>
    </cfRule>
    <cfRule type="containsText" dxfId="2240" priority="10419" operator="containsText" text="祝">
      <formula>NOT(ISERROR(SEARCH("祝",P66)))</formula>
    </cfRule>
    <cfRule type="containsText" dxfId="2239" priority="10420" operator="containsText" text="祝">
      <formula>NOT(ISERROR(SEARCH("祝",P66)))</formula>
    </cfRule>
    <cfRule type="containsText" dxfId="2238" priority="10421" operator="containsText" text="盆">
      <formula>NOT(ISERROR(SEARCH("盆",P66)))</formula>
    </cfRule>
  </conditionalFormatting>
  <conditionalFormatting sqref="Q66">
    <cfRule type="containsText" dxfId="2237" priority="10398" operator="containsText" text="正">
      <formula>NOT(ISERROR(SEARCH("正",Q66)))</formula>
    </cfRule>
    <cfRule type="containsText" dxfId="2236" priority="10399" operator="containsText" text="Ｇ">
      <formula>NOT(ISERROR(SEARCH("Ｇ",Q66)))</formula>
    </cfRule>
    <cfRule type="containsText" dxfId="2235" priority="10400" operator="containsText" text="祝">
      <formula>NOT(ISERROR(SEARCH("祝",Q66)))</formula>
    </cfRule>
    <cfRule type="containsText" dxfId="2234" priority="10401" operator="containsText" text="祝">
      <formula>NOT(ISERROR(SEARCH("祝",Q66)))</formula>
    </cfRule>
    <cfRule type="containsText" dxfId="2233" priority="10402" operator="containsText" text="祝">
      <formula>NOT(ISERROR(SEARCH("祝",Q66)))</formula>
    </cfRule>
    <cfRule type="containsText" dxfId="2232" priority="10403" operator="containsText" text="祝">
      <formula>NOT(ISERROR(SEARCH("祝",Q66)))</formula>
    </cfRule>
    <cfRule type="containsText" dxfId="2231" priority="10404" operator="containsText" text="祝">
      <formula>NOT(ISERROR(SEARCH("祝",Q66)))</formula>
    </cfRule>
    <cfRule type="containsText" dxfId="2230" priority="10405" operator="containsText" text="盆">
      <formula>NOT(ISERROR(SEARCH("盆",Q66)))</formula>
    </cfRule>
  </conditionalFormatting>
  <conditionalFormatting sqref="W66">
    <cfRule type="containsText" dxfId="2229" priority="10382" operator="containsText" text="正">
      <formula>NOT(ISERROR(SEARCH("正",W66)))</formula>
    </cfRule>
    <cfRule type="containsText" dxfId="2228" priority="10383" operator="containsText" text="Ｇ">
      <formula>NOT(ISERROR(SEARCH("Ｇ",W66)))</formula>
    </cfRule>
    <cfRule type="containsText" dxfId="2227" priority="10384" operator="containsText" text="祝">
      <formula>NOT(ISERROR(SEARCH("祝",W66)))</formula>
    </cfRule>
    <cfRule type="containsText" dxfId="2226" priority="10385" operator="containsText" text="祝">
      <formula>NOT(ISERROR(SEARCH("祝",W66)))</formula>
    </cfRule>
    <cfRule type="containsText" dxfId="2225" priority="10386" operator="containsText" text="祝">
      <formula>NOT(ISERROR(SEARCH("祝",W66)))</formula>
    </cfRule>
    <cfRule type="containsText" dxfId="2224" priority="10387" operator="containsText" text="祝">
      <formula>NOT(ISERROR(SEARCH("祝",W66)))</formula>
    </cfRule>
    <cfRule type="containsText" dxfId="2223" priority="10388" operator="containsText" text="祝">
      <formula>NOT(ISERROR(SEARCH("祝",W66)))</formula>
    </cfRule>
    <cfRule type="containsText" dxfId="2222" priority="10389" operator="containsText" text="盆">
      <formula>NOT(ISERROR(SEARCH("盆",W66)))</formula>
    </cfRule>
  </conditionalFormatting>
  <conditionalFormatting sqref="X66">
    <cfRule type="containsText" dxfId="2221" priority="10366" operator="containsText" text="正">
      <formula>NOT(ISERROR(SEARCH("正",X66)))</formula>
    </cfRule>
    <cfRule type="containsText" dxfId="2220" priority="10367" operator="containsText" text="Ｇ">
      <formula>NOT(ISERROR(SEARCH("Ｇ",X66)))</formula>
    </cfRule>
    <cfRule type="containsText" dxfId="2219" priority="10368" operator="containsText" text="祝">
      <formula>NOT(ISERROR(SEARCH("祝",X66)))</formula>
    </cfRule>
    <cfRule type="containsText" dxfId="2218" priority="10369" operator="containsText" text="祝">
      <formula>NOT(ISERROR(SEARCH("祝",X66)))</formula>
    </cfRule>
    <cfRule type="containsText" dxfId="2217" priority="10370" operator="containsText" text="祝">
      <formula>NOT(ISERROR(SEARCH("祝",X66)))</formula>
    </cfRule>
    <cfRule type="containsText" dxfId="2216" priority="10371" operator="containsText" text="祝">
      <formula>NOT(ISERROR(SEARCH("祝",X66)))</formula>
    </cfRule>
    <cfRule type="containsText" dxfId="2215" priority="10372" operator="containsText" text="祝">
      <formula>NOT(ISERROR(SEARCH("祝",X66)))</formula>
    </cfRule>
    <cfRule type="containsText" dxfId="2214" priority="10373" operator="containsText" text="盆">
      <formula>NOT(ISERROR(SEARCH("盆",X66)))</formula>
    </cfRule>
  </conditionalFormatting>
  <conditionalFormatting sqref="C72">
    <cfRule type="containsText" dxfId="2213" priority="10350" operator="containsText" text="正">
      <formula>NOT(ISERROR(SEARCH("正",C72)))</formula>
    </cfRule>
    <cfRule type="containsText" dxfId="2212" priority="10351" operator="containsText" text="Ｇ">
      <formula>NOT(ISERROR(SEARCH("Ｇ",C72)))</formula>
    </cfRule>
    <cfRule type="containsText" dxfId="2211" priority="10352" operator="containsText" text="祝">
      <formula>NOT(ISERROR(SEARCH("祝",C72)))</formula>
    </cfRule>
    <cfRule type="containsText" dxfId="2210" priority="10353" operator="containsText" text="祝">
      <formula>NOT(ISERROR(SEARCH("祝",C72)))</formula>
    </cfRule>
    <cfRule type="containsText" dxfId="2209" priority="10354" operator="containsText" text="祝">
      <formula>NOT(ISERROR(SEARCH("祝",C72)))</formula>
    </cfRule>
    <cfRule type="containsText" dxfId="2208" priority="10355" operator="containsText" text="祝">
      <formula>NOT(ISERROR(SEARCH("祝",C72)))</formula>
    </cfRule>
    <cfRule type="containsText" dxfId="2207" priority="10356" operator="containsText" text="祝">
      <formula>NOT(ISERROR(SEARCH("祝",C72)))</formula>
    </cfRule>
    <cfRule type="containsText" dxfId="2206" priority="10357" operator="containsText" text="盆">
      <formula>NOT(ISERROR(SEARCH("盆",C72)))</formula>
    </cfRule>
  </conditionalFormatting>
  <conditionalFormatting sqref="I72">
    <cfRule type="containsText" dxfId="2205" priority="10334" operator="containsText" text="正">
      <formula>NOT(ISERROR(SEARCH("正",I72)))</formula>
    </cfRule>
    <cfRule type="containsText" dxfId="2204" priority="10335" operator="containsText" text="Ｇ">
      <formula>NOT(ISERROR(SEARCH("Ｇ",I72)))</formula>
    </cfRule>
    <cfRule type="containsText" dxfId="2203" priority="10336" operator="containsText" text="祝">
      <formula>NOT(ISERROR(SEARCH("祝",I72)))</formula>
    </cfRule>
    <cfRule type="containsText" dxfId="2202" priority="10337" operator="containsText" text="祝">
      <formula>NOT(ISERROR(SEARCH("祝",I72)))</formula>
    </cfRule>
    <cfRule type="containsText" dxfId="2201" priority="10338" operator="containsText" text="祝">
      <formula>NOT(ISERROR(SEARCH("祝",I72)))</formula>
    </cfRule>
    <cfRule type="containsText" dxfId="2200" priority="10339" operator="containsText" text="祝">
      <formula>NOT(ISERROR(SEARCH("祝",I72)))</formula>
    </cfRule>
    <cfRule type="containsText" dxfId="2199" priority="10340" operator="containsText" text="祝">
      <formula>NOT(ISERROR(SEARCH("祝",I72)))</formula>
    </cfRule>
    <cfRule type="containsText" dxfId="2198" priority="10341" operator="containsText" text="盆">
      <formula>NOT(ISERROR(SEARCH("盆",I72)))</formula>
    </cfRule>
  </conditionalFormatting>
  <conditionalFormatting sqref="J72">
    <cfRule type="containsText" dxfId="2197" priority="10318" operator="containsText" text="正">
      <formula>NOT(ISERROR(SEARCH("正",J72)))</formula>
    </cfRule>
    <cfRule type="containsText" dxfId="2196" priority="10319" operator="containsText" text="Ｇ">
      <formula>NOT(ISERROR(SEARCH("Ｇ",J72)))</formula>
    </cfRule>
    <cfRule type="containsText" dxfId="2195" priority="10320" operator="containsText" text="祝">
      <formula>NOT(ISERROR(SEARCH("祝",J72)))</formula>
    </cfRule>
    <cfRule type="containsText" dxfId="2194" priority="10321" operator="containsText" text="祝">
      <formula>NOT(ISERROR(SEARCH("祝",J72)))</formula>
    </cfRule>
    <cfRule type="containsText" dxfId="2193" priority="10322" operator="containsText" text="祝">
      <formula>NOT(ISERROR(SEARCH("祝",J72)))</formula>
    </cfRule>
    <cfRule type="containsText" dxfId="2192" priority="10323" operator="containsText" text="祝">
      <formula>NOT(ISERROR(SEARCH("祝",J72)))</formula>
    </cfRule>
    <cfRule type="containsText" dxfId="2191" priority="10324" operator="containsText" text="祝">
      <formula>NOT(ISERROR(SEARCH("祝",J72)))</formula>
    </cfRule>
    <cfRule type="containsText" dxfId="2190" priority="10325" operator="containsText" text="盆">
      <formula>NOT(ISERROR(SEARCH("盆",J72)))</formula>
    </cfRule>
  </conditionalFormatting>
  <conditionalFormatting sqref="D60">
    <cfRule type="containsText" dxfId="2189" priority="10307" operator="containsText" text="正">
      <formula>NOT(ISERROR(SEARCH("正",D60)))</formula>
    </cfRule>
    <cfRule type="containsText" dxfId="2188" priority="10308" operator="containsText" text="盆">
      <formula>NOT(ISERROR(SEARCH("盆",D60)))</formula>
    </cfRule>
    <cfRule type="containsText" dxfId="2187" priority="10309" operator="containsText" text="Ｇ">
      <formula>NOT(ISERROR(SEARCH("Ｇ",D60)))</formula>
    </cfRule>
  </conditionalFormatting>
  <conditionalFormatting sqref="E60">
    <cfRule type="containsText" dxfId="2186" priority="10296" operator="containsText" text="正">
      <formula>NOT(ISERROR(SEARCH("正",E60)))</formula>
    </cfRule>
    <cfRule type="containsText" dxfId="2185" priority="10297" operator="containsText" text="盆">
      <formula>NOT(ISERROR(SEARCH("盆",E60)))</formula>
    </cfRule>
    <cfRule type="containsText" dxfId="2184" priority="10298" operator="containsText" text="Ｇ">
      <formula>NOT(ISERROR(SEARCH("Ｇ",E60)))</formula>
    </cfRule>
  </conditionalFormatting>
  <conditionalFormatting sqref="S18">
    <cfRule type="containsText" dxfId="2183" priority="10113" operator="containsText" text="正">
      <formula>NOT(ISERROR(SEARCH("正",S18)))</formula>
    </cfRule>
    <cfRule type="containsText" dxfId="2182" priority="10114" operator="containsText" text="盆">
      <formula>NOT(ISERROR(SEARCH("盆",S18)))</formula>
    </cfRule>
    <cfRule type="containsText" dxfId="2181" priority="10115" operator="containsText" text="Ｇ">
      <formula>NOT(ISERROR(SEARCH("Ｇ",S18)))</formula>
    </cfRule>
  </conditionalFormatting>
  <conditionalFormatting sqref="Z18">
    <cfRule type="containsText" dxfId="2180" priority="10110" operator="containsText" text="正">
      <formula>NOT(ISERROR(SEARCH("正",Z18)))</formula>
    </cfRule>
    <cfRule type="containsText" dxfId="2179" priority="10111" operator="containsText" text="盆">
      <formula>NOT(ISERROR(SEARCH("盆",Z18)))</formula>
    </cfRule>
    <cfRule type="containsText" dxfId="2178" priority="10112" operator="containsText" text="Ｇ">
      <formula>NOT(ISERROR(SEARCH("Ｇ",Z18)))</formula>
    </cfRule>
  </conditionalFormatting>
  <conditionalFormatting sqref="Q18">
    <cfRule type="containsText" dxfId="2177" priority="10062" operator="containsText" text="正">
      <formula>NOT(ISERROR(SEARCH("正",Q18)))</formula>
    </cfRule>
    <cfRule type="containsText" dxfId="2176" priority="10063" operator="containsText" text="Ｇ">
      <formula>NOT(ISERROR(SEARCH("Ｇ",Q18)))</formula>
    </cfRule>
    <cfRule type="containsText" dxfId="2175" priority="10064" operator="containsText" text="祝">
      <formula>NOT(ISERROR(SEARCH("祝",Q18)))</formula>
    </cfRule>
    <cfRule type="containsText" dxfId="2174" priority="10065" operator="containsText" text="祝">
      <formula>NOT(ISERROR(SEARCH("祝",Q18)))</formula>
    </cfRule>
    <cfRule type="containsText" dxfId="2173" priority="10066" operator="containsText" text="祝">
      <formula>NOT(ISERROR(SEARCH("祝",Q18)))</formula>
    </cfRule>
    <cfRule type="containsText" dxfId="2172" priority="10067" operator="containsText" text="祝">
      <formula>NOT(ISERROR(SEARCH("祝",Q18)))</formula>
    </cfRule>
    <cfRule type="containsText" dxfId="2171" priority="10068" operator="containsText" text="祝">
      <formula>NOT(ISERROR(SEARCH("祝",Q18)))</formula>
    </cfRule>
    <cfRule type="containsText" dxfId="2170" priority="10069" operator="containsText" text="盆">
      <formula>NOT(ISERROR(SEARCH("盆",Q18)))</formula>
    </cfRule>
  </conditionalFormatting>
  <conditionalFormatting sqref="H18 J18 L18">
    <cfRule type="containsText" dxfId="2169" priority="9922" operator="containsText" text="正">
      <formula>NOT(ISERROR(SEARCH("正",H18)))</formula>
    </cfRule>
    <cfRule type="containsText" dxfId="2168" priority="9923" operator="containsText" text="盆">
      <formula>NOT(ISERROR(SEARCH("盆",H18)))</formula>
    </cfRule>
    <cfRule type="containsText" dxfId="2167" priority="9924" operator="containsText" text="Ｇ">
      <formula>NOT(ISERROR(SEARCH("Ｇ",H18)))</formula>
    </cfRule>
  </conditionalFormatting>
  <conditionalFormatting sqref="C24">
    <cfRule type="containsText" dxfId="2166" priority="9906" operator="containsText" text="正">
      <formula>NOT(ISERROR(SEARCH("正",C24)))</formula>
    </cfRule>
    <cfRule type="containsText" dxfId="2165" priority="9907" operator="containsText" text="Ｇ">
      <formula>NOT(ISERROR(SEARCH("Ｇ",C24)))</formula>
    </cfRule>
    <cfRule type="containsText" dxfId="2164" priority="9908" operator="containsText" text="祝">
      <formula>NOT(ISERROR(SEARCH("祝",C24)))</formula>
    </cfRule>
    <cfRule type="containsText" dxfId="2163" priority="9909" operator="containsText" text="祝">
      <formula>NOT(ISERROR(SEARCH("祝",C24)))</formula>
    </cfRule>
    <cfRule type="containsText" dxfId="2162" priority="9910" operator="containsText" text="祝">
      <formula>NOT(ISERROR(SEARCH("祝",C24)))</formula>
    </cfRule>
    <cfRule type="containsText" dxfId="2161" priority="9911" operator="containsText" text="祝">
      <formula>NOT(ISERROR(SEARCH("祝",C24)))</formula>
    </cfRule>
    <cfRule type="containsText" dxfId="2160" priority="9912" operator="containsText" text="祝">
      <formula>NOT(ISERROR(SEARCH("祝",C24)))</formula>
    </cfRule>
    <cfRule type="containsText" dxfId="2159" priority="9913" operator="containsText" text="盆">
      <formula>NOT(ISERROR(SEARCH("盆",C24)))</formula>
    </cfRule>
  </conditionalFormatting>
  <conditionalFormatting sqref="D24">
    <cfRule type="containsText" dxfId="2158" priority="9890" operator="containsText" text="正">
      <formula>NOT(ISERROR(SEARCH("正",D24)))</formula>
    </cfRule>
    <cfRule type="containsText" dxfId="2157" priority="9891" operator="containsText" text="Ｇ">
      <formula>NOT(ISERROR(SEARCH("Ｇ",D24)))</formula>
    </cfRule>
    <cfRule type="containsText" dxfId="2156" priority="9892" operator="containsText" text="祝">
      <formula>NOT(ISERROR(SEARCH("祝",D24)))</formula>
    </cfRule>
    <cfRule type="containsText" dxfId="2155" priority="9893" operator="containsText" text="祝">
      <formula>NOT(ISERROR(SEARCH("祝",D24)))</formula>
    </cfRule>
    <cfRule type="containsText" dxfId="2154" priority="9894" operator="containsText" text="祝">
      <formula>NOT(ISERROR(SEARCH("祝",D24)))</formula>
    </cfRule>
    <cfRule type="containsText" dxfId="2153" priority="9895" operator="containsText" text="祝">
      <formula>NOT(ISERROR(SEARCH("祝",D24)))</formula>
    </cfRule>
    <cfRule type="containsText" dxfId="2152" priority="9896" operator="containsText" text="祝">
      <formula>NOT(ISERROR(SEARCH("祝",D24)))</formula>
    </cfRule>
    <cfRule type="containsText" dxfId="2151" priority="9897" operator="containsText" text="盆">
      <formula>NOT(ISERROR(SEARCH("盆",D24)))</formula>
    </cfRule>
  </conditionalFormatting>
  <conditionalFormatting sqref="K24">
    <cfRule type="containsText" dxfId="2150" priority="9879" operator="containsText" text="正">
      <formula>NOT(ISERROR(SEARCH("正",K24)))</formula>
    </cfRule>
    <cfRule type="containsText" dxfId="2149" priority="9880" operator="containsText" text="盆">
      <formula>NOT(ISERROR(SEARCH("盆",K24)))</formula>
    </cfRule>
    <cfRule type="containsText" dxfId="2148" priority="9881" operator="containsText" text="Ｇ">
      <formula>NOT(ISERROR(SEARCH("Ｇ",K24)))</formula>
    </cfRule>
  </conditionalFormatting>
  <conditionalFormatting sqref="J24">
    <cfRule type="containsText" dxfId="2147" priority="9863" operator="containsText" text="正">
      <formula>NOT(ISERROR(SEARCH("正",J24)))</formula>
    </cfRule>
    <cfRule type="containsText" dxfId="2146" priority="9864" operator="containsText" text="Ｇ">
      <formula>NOT(ISERROR(SEARCH("Ｇ",J24)))</formula>
    </cfRule>
    <cfRule type="containsText" dxfId="2145" priority="9865" operator="containsText" text="祝">
      <formula>NOT(ISERROR(SEARCH("祝",J24)))</formula>
    </cfRule>
    <cfRule type="containsText" dxfId="2144" priority="9866" operator="containsText" text="祝">
      <formula>NOT(ISERROR(SEARCH("祝",J24)))</formula>
    </cfRule>
    <cfRule type="containsText" dxfId="2143" priority="9867" operator="containsText" text="祝">
      <formula>NOT(ISERROR(SEARCH("祝",J24)))</formula>
    </cfRule>
    <cfRule type="containsText" dxfId="2142" priority="9868" operator="containsText" text="祝">
      <formula>NOT(ISERROR(SEARCH("祝",J24)))</formula>
    </cfRule>
    <cfRule type="containsText" dxfId="2141" priority="9869" operator="containsText" text="祝">
      <formula>NOT(ISERROR(SEARCH("祝",J24)))</formula>
    </cfRule>
    <cfRule type="containsText" dxfId="2140" priority="9870" operator="containsText" text="盆">
      <formula>NOT(ISERROR(SEARCH("盆",J24)))</formula>
    </cfRule>
  </conditionalFormatting>
  <conditionalFormatting sqref="R24">
    <cfRule type="containsText" dxfId="2139" priority="9852" operator="containsText" text="正">
      <formula>NOT(ISERROR(SEARCH("正",R24)))</formula>
    </cfRule>
    <cfRule type="containsText" dxfId="2138" priority="9853" operator="containsText" text="盆">
      <formula>NOT(ISERROR(SEARCH("盆",R24)))</formula>
    </cfRule>
    <cfRule type="containsText" dxfId="2137" priority="9854" operator="containsText" text="Ｇ">
      <formula>NOT(ISERROR(SEARCH("Ｇ",R24)))</formula>
    </cfRule>
  </conditionalFormatting>
  <conditionalFormatting sqref="Q24">
    <cfRule type="containsText" dxfId="2136" priority="9836" operator="containsText" text="正">
      <formula>NOT(ISERROR(SEARCH("正",Q24)))</formula>
    </cfRule>
    <cfRule type="containsText" dxfId="2135" priority="9837" operator="containsText" text="Ｇ">
      <formula>NOT(ISERROR(SEARCH("Ｇ",Q24)))</formula>
    </cfRule>
    <cfRule type="containsText" dxfId="2134" priority="9838" operator="containsText" text="祝">
      <formula>NOT(ISERROR(SEARCH("祝",Q24)))</formula>
    </cfRule>
    <cfRule type="containsText" dxfId="2133" priority="9839" operator="containsText" text="祝">
      <formula>NOT(ISERROR(SEARCH("祝",Q24)))</formula>
    </cfRule>
    <cfRule type="containsText" dxfId="2132" priority="9840" operator="containsText" text="祝">
      <formula>NOT(ISERROR(SEARCH("祝",Q24)))</formula>
    </cfRule>
    <cfRule type="containsText" dxfId="2131" priority="9841" operator="containsText" text="祝">
      <formula>NOT(ISERROR(SEARCH("祝",Q24)))</formula>
    </cfRule>
    <cfRule type="containsText" dxfId="2130" priority="9842" operator="containsText" text="祝">
      <formula>NOT(ISERROR(SEARCH("祝",Q24)))</formula>
    </cfRule>
    <cfRule type="containsText" dxfId="2129" priority="9843" operator="containsText" text="盆">
      <formula>NOT(ISERROR(SEARCH("盆",Q24)))</formula>
    </cfRule>
  </conditionalFormatting>
  <conditionalFormatting sqref="Y24">
    <cfRule type="containsText" dxfId="2128" priority="9825" operator="containsText" text="正">
      <formula>NOT(ISERROR(SEARCH("正",Y24)))</formula>
    </cfRule>
    <cfRule type="containsText" dxfId="2127" priority="9826" operator="containsText" text="盆">
      <formula>NOT(ISERROR(SEARCH("盆",Y24)))</formula>
    </cfRule>
    <cfRule type="containsText" dxfId="2126" priority="9827" operator="containsText" text="Ｇ">
      <formula>NOT(ISERROR(SEARCH("Ｇ",Y24)))</formula>
    </cfRule>
  </conditionalFormatting>
  <conditionalFormatting sqref="X24">
    <cfRule type="containsText" dxfId="2125" priority="9809" operator="containsText" text="正">
      <formula>NOT(ISERROR(SEARCH("正",X24)))</formula>
    </cfRule>
    <cfRule type="containsText" dxfId="2124" priority="9810" operator="containsText" text="Ｇ">
      <formula>NOT(ISERROR(SEARCH("Ｇ",X24)))</formula>
    </cfRule>
    <cfRule type="containsText" dxfId="2123" priority="9811" operator="containsText" text="祝">
      <formula>NOT(ISERROR(SEARCH("祝",X24)))</formula>
    </cfRule>
    <cfRule type="containsText" dxfId="2122" priority="9812" operator="containsText" text="祝">
      <formula>NOT(ISERROR(SEARCH("祝",X24)))</formula>
    </cfRule>
    <cfRule type="containsText" dxfId="2121" priority="9813" operator="containsText" text="祝">
      <formula>NOT(ISERROR(SEARCH("祝",X24)))</formula>
    </cfRule>
    <cfRule type="containsText" dxfId="2120" priority="9814" operator="containsText" text="祝">
      <formula>NOT(ISERROR(SEARCH("祝",X24)))</formula>
    </cfRule>
    <cfRule type="containsText" dxfId="2119" priority="9815" operator="containsText" text="祝">
      <formula>NOT(ISERROR(SEARCH("祝",X24)))</formula>
    </cfRule>
    <cfRule type="containsText" dxfId="2118" priority="9816" operator="containsText" text="盆">
      <formula>NOT(ISERROR(SEARCH("盆",X24)))</formula>
    </cfRule>
  </conditionalFormatting>
  <conditionalFormatting sqref="M18">
    <cfRule type="containsText" dxfId="2117" priority="9777" operator="containsText" text="正">
      <formula>NOT(ISERROR(SEARCH("正",M18)))</formula>
    </cfRule>
    <cfRule type="containsText" dxfId="2116" priority="9778" operator="containsText" text="Ｇ">
      <formula>NOT(ISERROR(SEARCH("Ｇ",M18)))</formula>
    </cfRule>
    <cfRule type="containsText" dxfId="2115" priority="9779" operator="containsText" text="祝">
      <formula>NOT(ISERROR(SEARCH("祝",M18)))</formula>
    </cfRule>
    <cfRule type="containsText" dxfId="2114" priority="9780" operator="containsText" text="祝">
      <formula>NOT(ISERROR(SEARCH("祝",M18)))</formula>
    </cfRule>
    <cfRule type="containsText" dxfId="2113" priority="9781" operator="containsText" text="祝">
      <formula>NOT(ISERROR(SEARCH("祝",M18)))</formula>
    </cfRule>
    <cfRule type="containsText" dxfId="2112" priority="9782" operator="containsText" text="祝">
      <formula>NOT(ISERROR(SEARCH("祝",M18)))</formula>
    </cfRule>
    <cfRule type="containsText" dxfId="2111" priority="9783" operator="containsText" text="祝">
      <formula>NOT(ISERROR(SEARCH("祝",M18)))</formula>
    </cfRule>
    <cfRule type="containsText" dxfId="2110" priority="9784" operator="containsText" text="盆">
      <formula>NOT(ISERROR(SEARCH("盆",M18)))</formula>
    </cfRule>
  </conditionalFormatting>
  <conditionalFormatting sqref="N18">
    <cfRule type="containsText" dxfId="2109" priority="9761" operator="containsText" text="正">
      <formula>NOT(ISERROR(SEARCH("正",N18)))</formula>
    </cfRule>
    <cfRule type="containsText" dxfId="2108" priority="9762" operator="containsText" text="Ｇ">
      <formula>NOT(ISERROR(SEARCH("Ｇ",N18)))</formula>
    </cfRule>
    <cfRule type="containsText" dxfId="2107" priority="9763" operator="containsText" text="祝">
      <formula>NOT(ISERROR(SEARCH("祝",N18)))</formula>
    </cfRule>
    <cfRule type="containsText" dxfId="2106" priority="9764" operator="containsText" text="祝">
      <formula>NOT(ISERROR(SEARCH("祝",N18)))</formula>
    </cfRule>
    <cfRule type="containsText" dxfId="2105" priority="9765" operator="containsText" text="祝">
      <formula>NOT(ISERROR(SEARCH("祝",N18)))</formula>
    </cfRule>
    <cfRule type="containsText" dxfId="2104" priority="9766" operator="containsText" text="祝">
      <formula>NOT(ISERROR(SEARCH("祝",N18)))</formula>
    </cfRule>
    <cfRule type="containsText" dxfId="2103" priority="9767" operator="containsText" text="祝">
      <formula>NOT(ISERROR(SEARCH("祝",N18)))</formula>
    </cfRule>
    <cfRule type="containsText" dxfId="2102" priority="9768" operator="containsText" text="盆">
      <formula>NOT(ISERROR(SEARCH("盆",N18)))</formula>
    </cfRule>
  </conditionalFormatting>
  <conditionalFormatting sqref="F18">
    <cfRule type="containsText" dxfId="2101" priority="9745" operator="containsText" text="正">
      <formula>NOT(ISERROR(SEARCH("正",F18)))</formula>
    </cfRule>
    <cfRule type="containsText" dxfId="2100" priority="9746" operator="containsText" text="Ｇ">
      <formula>NOT(ISERROR(SEARCH("Ｇ",F18)))</formula>
    </cfRule>
    <cfRule type="containsText" dxfId="2099" priority="9747" operator="containsText" text="祝">
      <formula>NOT(ISERROR(SEARCH("祝",F18)))</formula>
    </cfRule>
    <cfRule type="containsText" dxfId="2098" priority="9748" operator="containsText" text="祝">
      <formula>NOT(ISERROR(SEARCH("祝",F18)))</formula>
    </cfRule>
    <cfRule type="containsText" dxfId="2097" priority="9749" operator="containsText" text="祝">
      <formula>NOT(ISERROR(SEARCH("祝",F18)))</formula>
    </cfRule>
    <cfRule type="containsText" dxfId="2096" priority="9750" operator="containsText" text="祝">
      <formula>NOT(ISERROR(SEARCH("祝",F18)))</formula>
    </cfRule>
    <cfRule type="containsText" dxfId="2095" priority="9751" operator="containsText" text="祝">
      <formula>NOT(ISERROR(SEARCH("祝",F18)))</formula>
    </cfRule>
    <cfRule type="containsText" dxfId="2094" priority="9752" operator="containsText" text="盆">
      <formula>NOT(ISERROR(SEARCH("盆",F18)))</formula>
    </cfRule>
  </conditionalFormatting>
  <conditionalFormatting sqref="G18">
    <cfRule type="containsText" dxfId="2093" priority="9729" operator="containsText" text="正">
      <formula>NOT(ISERROR(SEARCH("正",G18)))</formula>
    </cfRule>
    <cfRule type="containsText" dxfId="2092" priority="9730" operator="containsText" text="Ｇ">
      <formula>NOT(ISERROR(SEARCH("Ｇ",G18)))</formula>
    </cfRule>
    <cfRule type="containsText" dxfId="2091" priority="9731" operator="containsText" text="祝">
      <formula>NOT(ISERROR(SEARCH("祝",G18)))</formula>
    </cfRule>
    <cfRule type="containsText" dxfId="2090" priority="9732" operator="containsText" text="祝">
      <formula>NOT(ISERROR(SEARCH("祝",G18)))</formula>
    </cfRule>
    <cfRule type="containsText" dxfId="2089" priority="9733" operator="containsText" text="祝">
      <formula>NOT(ISERROR(SEARCH("祝",G18)))</formula>
    </cfRule>
    <cfRule type="containsText" dxfId="2088" priority="9734" operator="containsText" text="祝">
      <formula>NOT(ISERROR(SEARCH("祝",G18)))</formula>
    </cfRule>
    <cfRule type="containsText" dxfId="2087" priority="9735" operator="containsText" text="祝">
      <formula>NOT(ISERROR(SEARCH("祝",G18)))</formula>
    </cfRule>
    <cfRule type="containsText" dxfId="2086" priority="9736" operator="containsText" text="盆">
      <formula>NOT(ISERROR(SEARCH("盆",G18)))</formula>
    </cfRule>
  </conditionalFormatting>
  <conditionalFormatting sqref="C12 F12 I12 L12 O12 R12 U12 X12 AA12 AD12">
    <cfRule type="containsText" dxfId="2085" priority="9473" operator="containsText" text="日">
      <formula>NOT(ISERROR(SEARCH("日",C12)))</formula>
    </cfRule>
    <cfRule type="containsText" dxfId="2084" priority="9474" operator="containsText" text="土">
      <formula>NOT(ISERROR(SEARCH("土",C12)))</formula>
    </cfRule>
    <cfRule type="containsText" dxfId="2083" priority="9475" operator="containsText" text="日">
      <formula>NOT(ISERROR(SEARCH("日",C12)))</formula>
    </cfRule>
    <cfRule type="containsText" dxfId="2082" priority="9476" operator="containsText" text="土">
      <formula>NOT(ISERROR(SEARCH("土",C12)))</formula>
    </cfRule>
  </conditionalFormatting>
  <conditionalFormatting sqref="D12:E12 G12:H12 J12:K12 M12:N12 S12:T12 V12:W12 Y12:Z12 AB12:AC12">
    <cfRule type="containsText" dxfId="2081" priority="9477" operator="containsText" text="日">
      <formula>NOT(ISERROR(SEARCH("日",D12)))</formula>
    </cfRule>
    <cfRule type="containsText" dxfId="2080" priority="9478" operator="containsText" text="土">
      <formula>NOT(ISERROR(SEARCH("土",D12)))</formula>
    </cfRule>
    <cfRule type="containsText" dxfId="2079" priority="9479" operator="containsText" text="日">
      <formula>NOT(ISERROR(SEARCH("日",D12)))</formula>
    </cfRule>
    <cfRule type="containsText" dxfId="2078" priority="9480" operator="containsText" text="土">
      <formula>NOT(ISERROR(SEARCH("土",D12)))</formula>
    </cfRule>
  </conditionalFormatting>
  <conditionalFormatting sqref="C21">
    <cfRule type="containsText" dxfId="2077" priority="9457" operator="containsText" text="日">
      <formula>NOT(ISERROR(SEARCH("日",C21)))</formula>
    </cfRule>
    <cfRule type="containsText" dxfId="2076" priority="9458" operator="containsText" text="土">
      <formula>NOT(ISERROR(SEARCH("土",C21)))</formula>
    </cfRule>
    <cfRule type="containsText" dxfId="2075" priority="9459" operator="containsText" text="日">
      <formula>NOT(ISERROR(SEARCH("日",C21)))</formula>
    </cfRule>
    <cfRule type="containsText" dxfId="2074" priority="9460" operator="containsText" text="土">
      <formula>NOT(ISERROR(SEARCH("土",C21)))</formula>
    </cfRule>
  </conditionalFormatting>
  <conditionalFormatting sqref="O54">
    <cfRule type="containsText" dxfId="2073" priority="4167" operator="containsText" text="正">
      <formula>NOT(ISERROR(SEARCH("正",O54)))</formula>
    </cfRule>
    <cfRule type="containsText" dxfId="2072" priority="4168" operator="containsText" text="盆">
      <formula>NOT(ISERROR(SEARCH("盆",O54)))</formula>
    </cfRule>
    <cfRule type="containsText" dxfId="2071" priority="4169" operator="containsText" text="Ｇ">
      <formula>NOT(ISERROR(SEARCH("Ｇ",O54)))</formula>
    </cfRule>
  </conditionalFormatting>
  <conditionalFormatting sqref="I24">
    <cfRule type="containsText" dxfId="2070" priority="4272" operator="containsText" text="正">
      <formula>NOT(ISERROR(SEARCH("正",I24)))</formula>
    </cfRule>
    <cfRule type="containsText" dxfId="2069" priority="4273" operator="containsText" text="盆">
      <formula>NOT(ISERROR(SEARCH("盆",I24)))</formula>
    </cfRule>
    <cfRule type="containsText" dxfId="2068" priority="4274" operator="containsText" text="Ｇ">
      <formula>NOT(ISERROR(SEARCH("Ｇ",I24)))</formula>
    </cfRule>
  </conditionalFormatting>
  <conditionalFormatting sqref="H24">
    <cfRule type="containsText" dxfId="2067" priority="4269" operator="containsText" text="正">
      <formula>NOT(ISERROR(SEARCH("正",H24)))</formula>
    </cfRule>
    <cfRule type="containsText" dxfId="2066" priority="4270" operator="containsText" text="盆">
      <formula>NOT(ISERROR(SEARCH("盆",H24)))</formula>
    </cfRule>
    <cfRule type="containsText" dxfId="2065" priority="4271" operator="containsText" text="Ｇ">
      <formula>NOT(ISERROR(SEARCH("Ｇ",H24)))</formula>
    </cfRule>
  </conditionalFormatting>
  <conditionalFormatting sqref="AD24">
    <cfRule type="containsText" dxfId="2064" priority="4254" operator="containsText" text="正">
      <formula>NOT(ISERROR(SEARCH("正",AD24)))</formula>
    </cfRule>
    <cfRule type="containsText" dxfId="2063" priority="4255" operator="containsText" text="盆">
      <formula>NOT(ISERROR(SEARCH("盆",AD24)))</formula>
    </cfRule>
    <cfRule type="containsText" dxfId="2062" priority="4256" operator="containsText" text="Ｇ">
      <formula>NOT(ISERROR(SEARCH("Ｇ",AD24)))</formula>
    </cfRule>
  </conditionalFormatting>
  <conditionalFormatting sqref="AC24">
    <cfRule type="containsText" dxfId="2061" priority="4251" operator="containsText" text="正">
      <formula>NOT(ISERROR(SEARCH("正",AC24)))</formula>
    </cfRule>
    <cfRule type="containsText" dxfId="2060" priority="4252" operator="containsText" text="盆">
      <formula>NOT(ISERROR(SEARCH("盆",AC24)))</formula>
    </cfRule>
    <cfRule type="containsText" dxfId="2059" priority="4253" operator="containsText" text="Ｇ">
      <formula>NOT(ISERROR(SEARCH("Ｇ",AC24)))</formula>
    </cfRule>
  </conditionalFormatting>
  <conditionalFormatting sqref="I36">
    <cfRule type="containsText" dxfId="2058" priority="4248" operator="containsText" text="正">
      <formula>NOT(ISERROR(SEARCH("正",I36)))</formula>
    </cfRule>
    <cfRule type="containsText" dxfId="2057" priority="4249" operator="containsText" text="盆">
      <formula>NOT(ISERROR(SEARCH("盆",I36)))</formula>
    </cfRule>
    <cfRule type="containsText" dxfId="2056" priority="4250" operator="containsText" text="Ｇ">
      <formula>NOT(ISERROR(SEARCH("Ｇ",I36)))</formula>
    </cfRule>
  </conditionalFormatting>
  <conditionalFormatting sqref="H36">
    <cfRule type="containsText" dxfId="2055" priority="4245" operator="containsText" text="正">
      <formula>NOT(ISERROR(SEARCH("正",H36)))</formula>
    </cfRule>
    <cfRule type="containsText" dxfId="2054" priority="4246" operator="containsText" text="盆">
      <formula>NOT(ISERROR(SEARCH("盆",H36)))</formula>
    </cfRule>
    <cfRule type="containsText" dxfId="2053" priority="4247" operator="containsText" text="Ｇ">
      <formula>NOT(ISERROR(SEARCH("Ｇ",H36)))</formula>
    </cfRule>
  </conditionalFormatting>
  <conditionalFormatting sqref="P36">
    <cfRule type="containsText" dxfId="2052" priority="4242" operator="containsText" text="正">
      <formula>NOT(ISERROR(SEARCH("正",P36)))</formula>
    </cfRule>
    <cfRule type="containsText" dxfId="2051" priority="4243" operator="containsText" text="盆">
      <formula>NOT(ISERROR(SEARCH("盆",P36)))</formula>
    </cfRule>
    <cfRule type="containsText" dxfId="2050" priority="4244" operator="containsText" text="Ｇ">
      <formula>NOT(ISERROR(SEARCH("Ｇ",P36)))</formula>
    </cfRule>
  </conditionalFormatting>
  <conditionalFormatting sqref="O36">
    <cfRule type="containsText" dxfId="2049" priority="4239" operator="containsText" text="正">
      <formula>NOT(ISERROR(SEARCH("正",O36)))</formula>
    </cfRule>
    <cfRule type="containsText" dxfId="2048" priority="4240" operator="containsText" text="盆">
      <formula>NOT(ISERROR(SEARCH("盆",O36)))</formula>
    </cfRule>
    <cfRule type="containsText" dxfId="2047" priority="4241" operator="containsText" text="Ｇ">
      <formula>NOT(ISERROR(SEARCH("Ｇ",O36)))</formula>
    </cfRule>
  </conditionalFormatting>
  <conditionalFormatting sqref="W36">
    <cfRule type="containsText" dxfId="2046" priority="4236" operator="containsText" text="正">
      <formula>NOT(ISERROR(SEARCH("正",W36)))</formula>
    </cfRule>
    <cfRule type="containsText" dxfId="2045" priority="4237" operator="containsText" text="盆">
      <formula>NOT(ISERROR(SEARCH("盆",W36)))</formula>
    </cfRule>
    <cfRule type="containsText" dxfId="2044" priority="4238" operator="containsText" text="Ｇ">
      <formula>NOT(ISERROR(SEARCH("Ｇ",W36)))</formula>
    </cfRule>
  </conditionalFormatting>
  <conditionalFormatting sqref="V36">
    <cfRule type="containsText" dxfId="2043" priority="4233" operator="containsText" text="正">
      <formula>NOT(ISERROR(SEARCH("正",V36)))</formula>
    </cfRule>
    <cfRule type="containsText" dxfId="2042" priority="4234" operator="containsText" text="盆">
      <formula>NOT(ISERROR(SEARCH("盆",V36)))</formula>
    </cfRule>
    <cfRule type="containsText" dxfId="2041" priority="4235" operator="containsText" text="Ｇ">
      <formula>NOT(ISERROR(SEARCH("Ｇ",V36)))</formula>
    </cfRule>
  </conditionalFormatting>
  <conditionalFormatting sqref="AD36">
    <cfRule type="containsText" dxfId="2040" priority="4230" operator="containsText" text="正">
      <formula>NOT(ISERROR(SEARCH("正",AD36)))</formula>
    </cfRule>
    <cfRule type="containsText" dxfId="2039" priority="4231" operator="containsText" text="盆">
      <formula>NOT(ISERROR(SEARCH("盆",AD36)))</formula>
    </cfRule>
    <cfRule type="containsText" dxfId="2038" priority="4232" operator="containsText" text="Ｇ">
      <formula>NOT(ISERROR(SEARCH("Ｇ",AD36)))</formula>
    </cfRule>
  </conditionalFormatting>
  <conditionalFormatting sqref="AC36">
    <cfRule type="containsText" dxfId="2037" priority="4227" operator="containsText" text="正">
      <formula>NOT(ISERROR(SEARCH("正",AC36)))</formula>
    </cfRule>
    <cfRule type="containsText" dxfId="2036" priority="4228" operator="containsText" text="盆">
      <formula>NOT(ISERROR(SEARCH("盆",AC36)))</formula>
    </cfRule>
    <cfRule type="containsText" dxfId="2035" priority="4229" operator="containsText" text="Ｇ">
      <formula>NOT(ISERROR(SEARCH("Ｇ",AC36)))</formula>
    </cfRule>
  </conditionalFormatting>
  <conditionalFormatting sqref="I42">
    <cfRule type="containsText" dxfId="2034" priority="4224" operator="containsText" text="正">
      <formula>NOT(ISERROR(SEARCH("正",I42)))</formula>
    </cfRule>
    <cfRule type="containsText" dxfId="2033" priority="4225" operator="containsText" text="盆">
      <formula>NOT(ISERROR(SEARCH("盆",I42)))</formula>
    </cfRule>
    <cfRule type="containsText" dxfId="2032" priority="4226" operator="containsText" text="Ｇ">
      <formula>NOT(ISERROR(SEARCH("Ｇ",I42)))</formula>
    </cfRule>
  </conditionalFormatting>
  <conditionalFormatting sqref="H42">
    <cfRule type="containsText" dxfId="2031" priority="4221" operator="containsText" text="正">
      <formula>NOT(ISERROR(SEARCH("正",H42)))</formula>
    </cfRule>
    <cfRule type="containsText" dxfId="2030" priority="4222" operator="containsText" text="盆">
      <formula>NOT(ISERROR(SEARCH("盆",H42)))</formula>
    </cfRule>
    <cfRule type="containsText" dxfId="2029" priority="4223" operator="containsText" text="Ｇ">
      <formula>NOT(ISERROR(SEARCH("Ｇ",H42)))</formula>
    </cfRule>
  </conditionalFormatting>
  <conditionalFormatting sqref="P42">
    <cfRule type="containsText" dxfId="2028" priority="4218" operator="containsText" text="正">
      <formula>NOT(ISERROR(SEARCH("正",P42)))</formula>
    </cfRule>
    <cfRule type="containsText" dxfId="2027" priority="4219" operator="containsText" text="盆">
      <formula>NOT(ISERROR(SEARCH("盆",P42)))</formula>
    </cfRule>
    <cfRule type="containsText" dxfId="2026" priority="4220" operator="containsText" text="Ｇ">
      <formula>NOT(ISERROR(SEARCH("Ｇ",P42)))</formula>
    </cfRule>
  </conditionalFormatting>
  <conditionalFormatting sqref="O42">
    <cfRule type="containsText" dxfId="2025" priority="4215" operator="containsText" text="正">
      <formula>NOT(ISERROR(SEARCH("正",O42)))</formula>
    </cfRule>
    <cfRule type="containsText" dxfId="2024" priority="4216" operator="containsText" text="盆">
      <formula>NOT(ISERROR(SEARCH("盆",O42)))</formula>
    </cfRule>
    <cfRule type="containsText" dxfId="2023" priority="4217" operator="containsText" text="Ｇ">
      <formula>NOT(ISERROR(SEARCH("Ｇ",O42)))</formula>
    </cfRule>
  </conditionalFormatting>
  <conditionalFormatting sqref="W42">
    <cfRule type="containsText" dxfId="2022" priority="4212" operator="containsText" text="正">
      <formula>NOT(ISERROR(SEARCH("正",W42)))</formula>
    </cfRule>
    <cfRule type="containsText" dxfId="2021" priority="4213" operator="containsText" text="盆">
      <formula>NOT(ISERROR(SEARCH("盆",W42)))</formula>
    </cfRule>
    <cfRule type="containsText" dxfId="2020" priority="4214" operator="containsText" text="Ｇ">
      <formula>NOT(ISERROR(SEARCH("Ｇ",W42)))</formula>
    </cfRule>
  </conditionalFormatting>
  <conditionalFormatting sqref="V42">
    <cfRule type="containsText" dxfId="2019" priority="4209" operator="containsText" text="正">
      <formula>NOT(ISERROR(SEARCH("正",V42)))</formula>
    </cfRule>
    <cfRule type="containsText" dxfId="2018" priority="4210" operator="containsText" text="盆">
      <formula>NOT(ISERROR(SEARCH("盆",V42)))</formula>
    </cfRule>
    <cfRule type="containsText" dxfId="2017" priority="4211" operator="containsText" text="Ｇ">
      <formula>NOT(ISERROR(SEARCH("Ｇ",V42)))</formula>
    </cfRule>
  </conditionalFormatting>
  <conditionalFormatting sqref="AD42">
    <cfRule type="containsText" dxfId="2016" priority="4206" operator="containsText" text="正">
      <formula>NOT(ISERROR(SEARCH("正",AD42)))</formula>
    </cfRule>
    <cfRule type="containsText" dxfId="2015" priority="4207" operator="containsText" text="盆">
      <formula>NOT(ISERROR(SEARCH("盆",AD42)))</formula>
    </cfRule>
    <cfRule type="containsText" dxfId="2014" priority="4208" operator="containsText" text="Ｇ">
      <formula>NOT(ISERROR(SEARCH("Ｇ",AD42)))</formula>
    </cfRule>
  </conditionalFormatting>
  <conditionalFormatting sqref="AC42">
    <cfRule type="containsText" dxfId="2013" priority="4203" operator="containsText" text="正">
      <formula>NOT(ISERROR(SEARCH("正",AC42)))</formula>
    </cfRule>
    <cfRule type="containsText" dxfId="2012" priority="4204" operator="containsText" text="盆">
      <formula>NOT(ISERROR(SEARCH("盆",AC42)))</formula>
    </cfRule>
    <cfRule type="containsText" dxfId="2011" priority="4205" operator="containsText" text="Ｇ">
      <formula>NOT(ISERROR(SEARCH("Ｇ",AC42)))</formula>
    </cfRule>
  </conditionalFormatting>
  <conditionalFormatting sqref="I48">
    <cfRule type="containsText" dxfId="2010" priority="4200" operator="containsText" text="正">
      <formula>NOT(ISERROR(SEARCH("正",I48)))</formula>
    </cfRule>
    <cfRule type="containsText" dxfId="2009" priority="4201" operator="containsText" text="盆">
      <formula>NOT(ISERROR(SEARCH("盆",I48)))</formula>
    </cfRule>
    <cfRule type="containsText" dxfId="2008" priority="4202" operator="containsText" text="Ｇ">
      <formula>NOT(ISERROR(SEARCH("Ｇ",I48)))</formula>
    </cfRule>
  </conditionalFormatting>
  <conditionalFormatting sqref="H48">
    <cfRule type="containsText" dxfId="2007" priority="4197" operator="containsText" text="正">
      <formula>NOT(ISERROR(SEARCH("正",H48)))</formula>
    </cfRule>
    <cfRule type="containsText" dxfId="2006" priority="4198" operator="containsText" text="盆">
      <formula>NOT(ISERROR(SEARCH("盆",H48)))</formula>
    </cfRule>
    <cfRule type="containsText" dxfId="2005" priority="4199" operator="containsText" text="Ｇ">
      <formula>NOT(ISERROR(SEARCH("Ｇ",H48)))</formula>
    </cfRule>
  </conditionalFormatting>
  <conditionalFormatting sqref="P48">
    <cfRule type="containsText" dxfId="2004" priority="4194" operator="containsText" text="正">
      <formula>NOT(ISERROR(SEARCH("正",P48)))</formula>
    </cfRule>
    <cfRule type="containsText" dxfId="2003" priority="4195" operator="containsText" text="盆">
      <formula>NOT(ISERROR(SEARCH("盆",P48)))</formula>
    </cfRule>
    <cfRule type="containsText" dxfId="2002" priority="4196" operator="containsText" text="Ｇ">
      <formula>NOT(ISERROR(SEARCH("Ｇ",P48)))</formula>
    </cfRule>
  </conditionalFormatting>
  <conditionalFormatting sqref="O48">
    <cfRule type="containsText" dxfId="2001" priority="4191" operator="containsText" text="正">
      <formula>NOT(ISERROR(SEARCH("正",O48)))</formula>
    </cfRule>
    <cfRule type="containsText" dxfId="2000" priority="4192" operator="containsText" text="盆">
      <formula>NOT(ISERROR(SEARCH("盆",O48)))</formula>
    </cfRule>
    <cfRule type="containsText" dxfId="1999" priority="4193" operator="containsText" text="Ｇ">
      <formula>NOT(ISERROR(SEARCH("Ｇ",O48)))</formula>
    </cfRule>
  </conditionalFormatting>
  <conditionalFormatting sqref="W48">
    <cfRule type="containsText" dxfId="1998" priority="4188" operator="containsText" text="正">
      <formula>NOT(ISERROR(SEARCH("正",W48)))</formula>
    </cfRule>
    <cfRule type="containsText" dxfId="1997" priority="4189" operator="containsText" text="盆">
      <formula>NOT(ISERROR(SEARCH("盆",W48)))</formula>
    </cfRule>
    <cfRule type="containsText" dxfId="1996" priority="4190" operator="containsText" text="Ｇ">
      <formula>NOT(ISERROR(SEARCH("Ｇ",W48)))</formula>
    </cfRule>
  </conditionalFormatting>
  <conditionalFormatting sqref="V48">
    <cfRule type="containsText" dxfId="1995" priority="4185" operator="containsText" text="正">
      <formula>NOT(ISERROR(SEARCH("正",V48)))</formula>
    </cfRule>
    <cfRule type="containsText" dxfId="1994" priority="4186" operator="containsText" text="盆">
      <formula>NOT(ISERROR(SEARCH("盆",V48)))</formula>
    </cfRule>
    <cfRule type="containsText" dxfId="1993" priority="4187" operator="containsText" text="Ｇ">
      <formula>NOT(ISERROR(SEARCH("Ｇ",V48)))</formula>
    </cfRule>
  </conditionalFormatting>
  <conditionalFormatting sqref="AD48">
    <cfRule type="containsText" dxfId="1992" priority="4182" operator="containsText" text="正">
      <formula>NOT(ISERROR(SEARCH("正",AD48)))</formula>
    </cfRule>
    <cfRule type="containsText" dxfId="1991" priority="4183" operator="containsText" text="盆">
      <formula>NOT(ISERROR(SEARCH("盆",AD48)))</formula>
    </cfRule>
    <cfRule type="containsText" dxfId="1990" priority="4184" operator="containsText" text="Ｇ">
      <formula>NOT(ISERROR(SEARCH("Ｇ",AD48)))</formula>
    </cfRule>
  </conditionalFormatting>
  <conditionalFormatting sqref="AC48">
    <cfRule type="containsText" dxfId="1989" priority="4179" operator="containsText" text="正">
      <formula>NOT(ISERROR(SEARCH("正",AC48)))</formula>
    </cfRule>
    <cfRule type="containsText" dxfId="1988" priority="4180" operator="containsText" text="盆">
      <formula>NOT(ISERROR(SEARCH("盆",AC48)))</formula>
    </cfRule>
    <cfRule type="containsText" dxfId="1987" priority="4181" operator="containsText" text="Ｇ">
      <formula>NOT(ISERROR(SEARCH("Ｇ",AC48)))</formula>
    </cfRule>
  </conditionalFormatting>
  <conditionalFormatting sqref="I54">
    <cfRule type="containsText" dxfId="1986" priority="4176" operator="containsText" text="正">
      <formula>NOT(ISERROR(SEARCH("正",I54)))</formula>
    </cfRule>
    <cfRule type="containsText" dxfId="1985" priority="4177" operator="containsText" text="盆">
      <formula>NOT(ISERROR(SEARCH("盆",I54)))</formula>
    </cfRule>
    <cfRule type="containsText" dxfId="1984" priority="4178" operator="containsText" text="Ｇ">
      <formula>NOT(ISERROR(SEARCH("Ｇ",I54)))</formula>
    </cfRule>
  </conditionalFormatting>
  <conditionalFormatting sqref="H54">
    <cfRule type="containsText" dxfId="1983" priority="4173" operator="containsText" text="正">
      <formula>NOT(ISERROR(SEARCH("正",H54)))</formula>
    </cfRule>
    <cfRule type="containsText" dxfId="1982" priority="4174" operator="containsText" text="盆">
      <formula>NOT(ISERROR(SEARCH("盆",H54)))</formula>
    </cfRule>
    <cfRule type="containsText" dxfId="1981" priority="4175" operator="containsText" text="Ｇ">
      <formula>NOT(ISERROR(SEARCH("Ｇ",H54)))</formula>
    </cfRule>
  </conditionalFormatting>
  <conditionalFormatting sqref="P54">
    <cfRule type="containsText" dxfId="1980" priority="4170" operator="containsText" text="正">
      <formula>NOT(ISERROR(SEARCH("正",P54)))</formula>
    </cfRule>
    <cfRule type="containsText" dxfId="1979" priority="4171" operator="containsText" text="盆">
      <formula>NOT(ISERROR(SEARCH("盆",P54)))</formula>
    </cfRule>
    <cfRule type="containsText" dxfId="1978" priority="4172" operator="containsText" text="Ｇ">
      <formula>NOT(ISERROR(SEARCH("Ｇ",P54)))</formula>
    </cfRule>
  </conditionalFormatting>
  <conditionalFormatting sqref="H131:I131 L131:P131 S131:W131 Z131:AD131">
    <cfRule type="containsText" dxfId="1977" priority="511" operator="containsText" text="正">
      <formula>NOT(ISERROR(SEARCH("正",H131)))</formula>
    </cfRule>
    <cfRule type="containsText" dxfId="1976" priority="512" operator="containsText" text="Ｇ">
      <formula>NOT(ISERROR(SEARCH("Ｇ",H131)))</formula>
    </cfRule>
    <cfRule type="containsText" dxfId="1975" priority="513" operator="containsText" text="祝">
      <formula>NOT(ISERROR(SEARCH("祝",H131)))</formula>
    </cfRule>
    <cfRule type="containsText" dxfId="1974" priority="514" operator="containsText" text="祝">
      <formula>NOT(ISERROR(SEARCH("祝",H131)))</formula>
    </cfRule>
    <cfRule type="containsText" dxfId="1973" priority="515" operator="containsText" text="祝">
      <formula>NOT(ISERROR(SEARCH("祝",H131)))</formula>
    </cfRule>
    <cfRule type="containsText" dxfId="1972" priority="516" operator="containsText" text="祝">
      <formula>NOT(ISERROR(SEARCH("祝",H131)))</formula>
    </cfRule>
    <cfRule type="containsText" dxfId="1971" priority="517" operator="containsText" text="祝">
      <formula>NOT(ISERROR(SEARCH("祝",H131)))</formula>
    </cfRule>
    <cfRule type="containsText" dxfId="1970" priority="518" operator="containsText" text="盆">
      <formula>NOT(ISERROR(SEARCH("盆",H131)))</formula>
    </cfRule>
  </conditionalFormatting>
  <conditionalFormatting sqref="E131">
    <cfRule type="containsText" dxfId="1969" priority="535" operator="containsText" text="正">
      <formula>NOT(ISERROR(SEARCH("正",E131)))</formula>
    </cfRule>
    <cfRule type="containsText" dxfId="1968" priority="536" operator="containsText" text="Ｇ">
      <formula>NOT(ISERROR(SEARCH("Ｇ",E131)))</formula>
    </cfRule>
    <cfRule type="containsText" dxfId="1967" priority="537" operator="containsText" text="祝">
      <formula>NOT(ISERROR(SEARCH("祝",E131)))</formula>
    </cfRule>
    <cfRule type="containsText" dxfId="1966" priority="538" operator="containsText" text="祝">
      <formula>NOT(ISERROR(SEARCH("祝",E131)))</formula>
    </cfRule>
    <cfRule type="containsText" dxfId="1965" priority="539" operator="containsText" text="祝">
      <formula>NOT(ISERROR(SEARCH("祝",E131)))</formula>
    </cfRule>
    <cfRule type="containsText" dxfId="1964" priority="540" operator="containsText" text="祝">
      <formula>NOT(ISERROR(SEARCH("祝",E131)))</formula>
    </cfRule>
    <cfRule type="containsText" dxfId="1963" priority="541" operator="containsText" text="祝">
      <formula>NOT(ISERROR(SEARCH("祝",E131)))</formula>
    </cfRule>
    <cfRule type="containsText" dxfId="1962" priority="542" operator="containsText" text="盆">
      <formula>NOT(ISERROR(SEARCH("盆",E131)))</formula>
    </cfRule>
  </conditionalFormatting>
  <conditionalFormatting sqref="F131">
    <cfRule type="containsText" dxfId="1961" priority="527" operator="containsText" text="正">
      <formula>NOT(ISERROR(SEARCH("正",F131)))</formula>
    </cfRule>
    <cfRule type="containsText" dxfId="1960" priority="528" operator="containsText" text="Ｇ">
      <formula>NOT(ISERROR(SEARCH("Ｇ",F131)))</formula>
    </cfRule>
    <cfRule type="containsText" dxfId="1959" priority="529" operator="containsText" text="祝">
      <formula>NOT(ISERROR(SEARCH("祝",F131)))</formula>
    </cfRule>
    <cfRule type="containsText" dxfId="1958" priority="530" operator="containsText" text="祝">
      <formula>NOT(ISERROR(SEARCH("祝",F131)))</formula>
    </cfRule>
    <cfRule type="containsText" dxfId="1957" priority="531" operator="containsText" text="祝">
      <formula>NOT(ISERROR(SEARCH("祝",F131)))</formula>
    </cfRule>
    <cfRule type="containsText" dxfId="1956" priority="532" operator="containsText" text="祝">
      <formula>NOT(ISERROR(SEARCH("祝",F131)))</formula>
    </cfRule>
    <cfRule type="containsText" dxfId="1955" priority="533" operator="containsText" text="祝">
      <formula>NOT(ISERROR(SEARCH("祝",F131)))</formula>
    </cfRule>
    <cfRule type="containsText" dxfId="1954" priority="534" operator="containsText" text="盆">
      <formula>NOT(ISERROR(SEARCH("盆",F131)))</formula>
    </cfRule>
  </conditionalFormatting>
  <conditionalFormatting sqref="G131">
    <cfRule type="containsText" dxfId="1953" priority="519" operator="containsText" text="正">
      <formula>NOT(ISERROR(SEARCH("正",G131)))</formula>
    </cfRule>
    <cfRule type="containsText" dxfId="1952" priority="520" operator="containsText" text="Ｇ">
      <formula>NOT(ISERROR(SEARCH("Ｇ",G131)))</formula>
    </cfRule>
    <cfRule type="containsText" dxfId="1951" priority="521" operator="containsText" text="祝">
      <formula>NOT(ISERROR(SEARCH("祝",G131)))</formula>
    </cfRule>
    <cfRule type="containsText" dxfId="1950" priority="522" operator="containsText" text="祝">
      <formula>NOT(ISERROR(SEARCH("祝",G131)))</formula>
    </cfRule>
    <cfRule type="containsText" dxfId="1949" priority="523" operator="containsText" text="祝">
      <formula>NOT(ISERROR(SEARCH("祝",G131)))</formula>
    </cfRule>
    <cfRule type="containsText" dxfId="1948" priority="524" operator="containsText" text="祝">
      <formula>NOT(ISERROR(SEARCH("祝",G131)))</formula>
    </cfRule>
    <cfRule type="containsText" dxfId="1947" priority="525" operator="containsText" text="祝">
      <formula>NOT(ISERROR(SEARCH("祝",G131)))</formula>
    </cfRule>
    <cfRule type="containsText" dxfId="1946" priority="526" operator="containsText" text="盆">
      <formula>NOT(ISERROR(SEARCH("盆",G131)))</formula>
    </cfRule>
  </conditionalFormatting>
  <conditionalFormatting sqref="C131">
    <cfRule type="containsText" dxfId="1945" priority="503" operator="containsText" text="正">
      <formula>NOT(ISERROR(SEARCH("正",C131)))</formula>
    </cfRule>
    <cfRule type="containsText" dxfId="1944" priority="504" operator="containsText" text="Ｇ">
      <formula>NOT(ISERROR(SEARCH("Ｇ",C131)))</formula>
    </cfRule>
    <cfRule type="containsText" dxfId="1943" priority="505" operator="containsText" text="祝">
      <formula>NOT(ISERROR(SEARCH("祝",C131)))</formula>
    </cfRule>
    <cfRule type="containsText" dxfId="1942" priority="506" operator="containsText" text="祝">
      <formula>NOT(ISERROR(SEARCH("祝",C131)))</formula>
    </cfRule>
    <cfRule type="containsText" dxfId="1941" priority="507" operator="containsText" text="祝">
      <formula>NOT(ISERROR(SEARCH("祝",C131)))</formula>
    </cfRule>
    <cfRule type="containsText" dxfId="1940" priority="508" operator="containsText" text="祝">
      <formula>NOT(ISERROR(SEARCH("祝",C131)))</formula>
    </cfRule>
    <cfRule type="containsText" dxfId="1939" priority="509" operator="containsText" text="祝">
      <formula>NOT(ISERROR(SEARCH("祝",C131)))</formula>
    </cfRule>
    <cfRule type="containsText" dxfId="1938" priority="510" operator="containsText" text="盆">
      <formula>NOT(ISERROR(SEARCH("盆",C131)))</formula>
    </cfRule>
  </conditionalFormatting>
  <conditionalFormatting sqref="D131">
    <cfRule type="containsText" dxfId="1937" priority="495" operator="containsText" text="正">
      <formula>NOT(ISERROR(SEARCH("正",D131)))</formula>
    </cfRule>
    <cfRule type="containsText" dxfId="1936" priority="496" operator="containsText" text="Ｇ">
      <formula>NOT(ISERROR(SEARCH("Ｇ",D131)))</formula>
    </cfRule>
    <cfRule type="containsText" dxfId="1935" priority="497" operator="containsText" text="祝">
      <formula>NOT(ISERROR(SEARCH("祝",D131)))</formula>
    </cfRule>
    <cfRule type="containsText" dxfId="1934" priority="498" operator="containsText" text="祝">
      <formula>NOT(ISERROR(SEARCH("祝",D131)))</formula>
    </cfRule>
    <cfRule type="containsText" dxfId="1933" priority="499" operator="containsText" text="祝">
      <formula>NOT(ISERROR(SEARCH("祝",D131)))</formula>
    </cfRule>
    <cfRule type="containsText" dxfId="1932" priority="500" operator="containsText" text="祝">
      <formula>NOT(ISERROR(SEARCH("祝",D131)))</formula>
    </cfRule>
    <cfRule type="containsText" dxfId="1931" priority="501" operator="containsText" text="祝">
      <formula>NOT(ISERROR(SEARCH("祝",D131)))</formula>
    </cfRule>
    <cfRule type="containsText" dxfId="1930" priority="502" operator="containsText" text="盆">
      <formula>NOT(ISERROR(SEARCH("盆",D131)))</formula>
    </cfRule>
  </conditionalFormatting>
  <conditionalFormatting sqref="J131">
    <cfRule type="containsText" dxfId="1929" priority="487" operator="containsText" text="正">
      <formula>NOT(ISERROR(SEARCH("正",J131)))</formula>
    </cfRule>
    <cfRule type="containsText" dxfId="1928" priority="488" operator="containsText" text="Ｇ">
      <formula>NOT(ISERROR(SEARCH("Ｇ",J131)))</formula>
    </cfRule>
    <cfRule type="containsText" dxfId="1927" priority="489" operator="containsText" text="祝">
      <formula>NOT(ISERROR(SEARCH("祝",J131)))</formula>
    </cfRule>
    <cfRule type="containsText" dxfId="1926" priority="490" operator="containsText" text="祝">
      <formula>NOT(ISERROR(SEARCH("祝",J131)))</formula>
    </cfRule>
    <cfRule type="containsText" dxfId="1925" priority="491" operator="containsText" text="祝">
      <formula>NOT(ISERROR(SEARCH("祝",J131)))</formula>
    </cfRule>
    <cfRule type="containsText" dxfId="1924" priority="492" operator="containsText" text="祝">
      <formula>NOT(ISERROR(SEARCH("祝",J131)))</formula>
    </cfRule>
    <cfRule type="containsText" dxfId="1923" priority="493" operator="containsText" text="祝">
      <formula>NOT(ISERROR(SEARCH("祝",J131)))</formula>
    </cfRule>
    <cfRule type="containsText" dxfId="1922" priority="494" operator="containsText" text="盆">
      <formula>NOT(ISERROR(SEARCH("盆",J131)))</formula>
    </cfRule>
  </conditionalFormatting>
  <conditionalFormatting sqref="K131">
    <cfRule type="containsText" dxfId="1921" priority="479" operator="containsText" text="正">
      <formula>NOT(ISERROR(SEARCH("正",K131)))</formula>
    </cfRule>
    <cfRule type="containsText" dxfId="1920" priority="480" operator="containsText" text="Ｇ">
      <formula>NOT(ISERROR(SEARCH("Ｇ",K131)))</formula>
    </cfRule>
    <cfRule type="containsText" dxfId="1919" priority="481" operator="containsText" text="祝">
      <formula>NOT(ISERROR(SEARCH("祝",K131)))</formula>
    </cfRule>
    <cfRule type="containsText" dxfId="1918" priority="482" operator="containsText" text="祝">
      <formula>NOT(ISERROR(SEARCH("祝",K131)))</formula>
    </cfRule>
    <cfRule type="containsText" dxfId="1917" priority="483" operator="containsText" text="祝">
      <formula>NOT(ISERROR(SEARCH("祝",K131)))</formula>
    </cfRule>
    <cfRule type="containsText" dxfId="1916" priority="484" operator="containsText" text="祝">
      <formula>NOT(ISERROR(SEARCH("祝",K131)))</formula>
    </cfRule>
    <cfRule type="containsText" dxfId="1915" priority="485" operator="containsText" text="祝">
      <formula>NOT(ISERROR(SEARCH("祝",K131)))</formula>
    </cfRule>
    <cfRule type="containsText" dxfId="1914" priority="486" operator="containsText" text="盆">
      <formula>NOT(ISERROR(SEARCH("盆",K131)))</formula>
    </cfRule>
  </conditionalFormatting>
  <conditionalFormatting sqref="Q131">
    <cfRule type="containsText" dxfId="1913" priority="471" operator="containsText" text="正">
      <formula>NOT(ISERROR(SEARCH("正",Q131)))</formula>
    </cfRule>
    <cfRule type="containsText" dxfId="1912" priority="472" operator="containsText" text="Ｇ">
      <formula>NOT(ISERROR(SEARCH("Ｇ",Q131)))</formula>
    </cfRule>
    <cfRule type="containsText" dxfId="1911" priority="473" operator="containsText" text="祝">
      <formula>NOT(ISERROR(SEARCH("祝",Q131)))</formula>
    </cfRule>
    <cfRule type="containsText" dxfId="1910" priority="474" operator="containsText" text="祝">
      <formula>NOT(ISERROR(SEARCH("祝",Q131)))</formula>
    </cfRule>
    <cfRule type="containsText" dxfId="1909" priority="475" operator="containsText" text="祝">
      <formula>NOT(ISERROR(SEARCH("祝",Q131)))</formula>
    </cfRule>
    <cfRule type="containsText" dxfId="1908" priority="476" operator="containsText" text="祝">
      <formula>NOT(ISERROR(SEARCH("祝",Q131)))</formula>
    </cfRule>
    <cfRule type="containsText" dxfId="1907" priority="477" operator="containsText" text="祝">
      <formula>NOT(ISERROR(SEARCH("祝",Q131)))</formula>
    </cfRule>
    <cfRule type="containsText" dxfId="1906" priority="478" operator="containsText" text="盆">
      <formula>NOT(ISERROR(SEARCH("盆",Q131)))</formula>
    </cfRule>
  </conditionalFormatting>
  <conditionalFormatting sqref="R131">
    <cfRule type="containsText" dxfId="1905" priority="463" operator="containsText" text="正">
      <formula>NOT(ISERROR(SEARCH("正",R131)))</formula>
    </cfRule>
    <cfRule type="containsText" dxfId="1904" priority="464" operator="containsText" text="Ｇ">
      <formula>NOT(ISERROR(SEARCH("Ｇ",R131)))</formula>
    </cfRule>
    <cfRule type="containsText" dxfId="1903" priority="465" operator="containsText" text="祝">
      <formula>NOT(ISERROR(SEARCH("祝",R131)))</formula>
    </cfRule>
    <cfRule type="containsText" dxfId="1902" priority="466" operator="containsText" text="祝">
      <formula>NOT(ISERROR(SEARCH("祝",R131)))</formula>
    </cfRule>
    <cfRule type="containsText" dxfId="1901" priority="467" operator="containsText" text="祝">
      <formula>NOT(ISERROR(SEARCH("祝",R131)))</formula>
    </cfRule>
    <cfRule type="containsText" dxfId="1900" priority="468" operator="containsText" text="祝">
      <formula>NOT(ISERROR(SEARCH("祝",R131)))</formula>
    </cfRule>
    <cfRule type="containsText" dxfId="1899" priority="469" operator="containsText" text="祝">
      <formula>NOT(ISERROR(SEARCH("祝",R131)))</formula>
    </cfRule>
    <cfRule type="containsText" dxfId="1898" priority="470" operator="containsText" text="盆">
      <formula>NOT(ISERROR(SEARCH("盆",R131)))</formula>
    </cfRule>
  </conditionalFormatting>
  <conditionalFormatting sqref="X131">
    <cfRule type="containsText" dxfId="1897" priority="455" operator="containsText" text="正">
      <formula>NOT(ISERROR(SEARCH("正",X131)))</formula>
    </cfRule>
    <cfRule type="containsText" dxfId="1896" priority="456" operator="containsText" text="Ｇ">
      <formula>NOT(ISERROR(SEARCH("Ｇ",X131)))</formula>
    </cfRule>
    <cfRule type="containsText" dxfId="1895" priority="457" operator="containsText" text="祝">
      <formula>NOT(ISERROR(SEARCH("祝",X131)))</formula>
    </cfRule>
    <cfRule type="containsText" dxfId="1894" priority="458" operator="containsText" text="祝">
      <formula>NOT(ISERROR(SEARCH("祝",X131)))</formula>
    </cfRule>
    <cfRule type="containsText" dxfId="1893" priority="459" operator="containsText" text="祝">
      <formula>NOT(ISERROR(SEARCH("祝",X131)))</formula>
    </cfRule>
    <cfRule type="containsText" dxfId="1892" priority="460" operator="containsText" text="祝">
      <formula>NOT(ISERROR(SEARCH("祝",X131)))</formula>
    </cfRule>
    <cfRule type="containsText" dxfId="1891" priority="461" operator="containsText" text="祝">
      <formula>NOT(ISERROR(SEARCH("祝",X131)))</formula>
    </cfRule>
    <cfRule type="containsText" dxfId="1890" priority="462" operator="containsText" text="盆">
      <formula>NOT(ISERROR(SEARCH("盆",X131)))</formula>
    </cfRule>
  </conditionalFormatting>
  <conditionalFormatting sqref="Y131">
    <cfRule type="containsText" dxfId="1889" priority="447" operator="containsText" text="正">
      <formula>NOT(ISERROR(SEARCH("正",Y131)))</formula>
    </cfRule>
    <cfRule type="containsText" dxfId="1888" priority="448" operator="containsText" text="Ｇ">
      <formula>NOT(ISERROR(SEARCH("Ｇ",Y131)))</formula>
    </cfRule>
    <cfRule type="containsText" dxfId="1887" priority="449" operator="containsText" text="祝">
      <formula>NOT(ISERROR(SEARCH("祝",Y131)))</formula>
    </cfRule>
    <cfRule type="containsText" dxfId="1886" priority="450" operator="containsText" text="祝">
      <formula>NOT(ISERROR(SEARCH("祝",Y131)))</formula>
    </cfRule>
    <cfRule type="containsText" dxfId="1885" priority="451" operator="containsText" text="祝">
      <formula>NOT(ISERROR(SEARCH("祝",Y131)))</formula>
    </cfRule>
    <cfRule type="containsText" dxfId="1884" priority="452" operator="containsText" text="祝">
      <formula>NOT(ISERROR(SEARCH("祝",Y131)))</formula>
    </cfRule>
    <cfRule type="containsText" dxfId="1883" priority="453" operator="containsText" text="祝">
      <formula>NOT(ISERROR(SEARCH("祝",Y131)))</formula>
    </cfRule>
    <cfRule type="containsText" dxfId="1882" priority="454" operator="containsText" text="盆">
      <formula>NOT(ISERROR(SEARCH("盆",Y131)))</formula>
    </cfRule>
  </conditionalFormatting>
  <conditionalFormatting sqref="H47:I47 L47:P47 S47:W47 Z47:AD47">
    <cfRule type="containsText" dxfId="1881" priority="1855" operator="containsText" text="正">
      <formula>NOT(ISERROR(SEARCH("正",H47)))</formula>
    </cfRule>
    <cfRule type="containsText" dxfId="1880" priority="1856" operator="containsText" text="Ｇ">
      <formula>NOT(ISERROR(SEARCH("Ｇ",H47)))</formula>
    </cfRule>
    <cfRule type="containsText" dxfId="1879" priority="1857" operator="containsText" text="祝">
      <formula>NOT(ISERROR(SEARCH("祝",H47)))</formula>
    </cfRule>
    <cfRule type="containsText" dxfId="1878" priority="1858" operator="containsText" text="祝">
      <formula>NOT(ISERROR(SEARCH("祝",H47)))</formula>
    </cfRule>
    <cfRule type="containsText" dxfId="1877" priority="1859" operator="containsText" text="祝">
      <formula>NOT(ISERROR(SEARCH("祝",H47)))</formula>
    </cfRule>
    <cfRule type="containsText" dxfId="1876" priority="1860" operator="containsText" text="祝">
      <formula>NOT(ISERROR(SEARCH("祝",H47)))</formula>
    </cfRule>
    <cfRule type="containsText" dxfId="1875" priority="1861" operator="containsText" text="祝">
      <formula>NOT(ISERROR(SEARCH("祝",H47)))</formula>
    </cfRule>
    <cfRule type="containsText" dxfId="1874" priority="1862" operator="containsText" text="盆">
      <formula>NOT(ISERROR(SEARCH("盆",H47)))</formula>
    </cfRule>
  </conditionalFormatting>
  <conditionalFormatting sqref="E47">
    <cfRule type="containsText" dxfId="1873" priority="1879" operator="containsText" text="正">
      <formula>NOT(ISERROR(SEARCH("正",E47)))</formula>
    </cfRule>
    <cfRule type="containsText" dxfId="1872" priority="1880" operator="containsText" text="Ｇ">
      <formula>NOT(ISERROR(SEARCH("Ｇ",E47)))</formula>
    </cfRule>
    <cfRule type="containsText" dxfId="1871" priority="1881" operator="containsText" text="祝">
      <formula>NOT(ISERROR(SEARCH("祝",E47)))</formula>
    </cfRule>
    <cfRule type="containsText" dxfId="1870" priority="1882" operator="containsText" text="祝">
      <formula>NOT(ISERROR(SEARCH("祝",E47)))</formula>
    </cfRule>
    <cfRule type="containsText" dxfId="1869" priority="1883" operator="containsText" text="祝">
      <formula>NOT(ISERROR(SEARCH("祝",E47)))</formula>
    </cfRule>
    <cfRule type="containsText" dxfId="1868" priority="1884" operator="containsText" text="祝">
      <formula>NOT(ISERROR(SEARCH("祝",E47)))</formula>
    </cfRule>
    <cfRule type="containsText" dxfId="1867" priority="1885" operator="containsText" text="祝">
      <formula>NOT(ISERROR(SEARCH("祝",E47)))</formula>
    </cfRule>
    <cfRule type="containsText" dxfId="1866" priority="1886" operator="containsText" text="盆">
      <formula>NOT(ISERROR(SEARCH("盆",E47)))</formula>
    </cfRule>
  </conditionalFormatting>
  <conditionalFormatting sqref="F47">
    <cfRule type="containsText" dxfId="1865" priority="1871" operator="containsText" text="正">
      <formula>NOT(ISERROR(SEARCH("正",F47)))</formula>
    </cfRule>
    <cfRule type="containsText" dxfId="1864" priority="1872" operator="containsText" text="Ｇ">
      <formula>NOT(ISERROR(SEARCH("Ｇ",F47)))</formula>
    </cfRule>
    <cfRule type="containsText" dxfId="1863" priority="1873" operator="containsText" text="祝">
      <formula>NOT(ISERROR(SEARCH("祝",F47)))</formula>
    </cfRule>
    <cfRule type="containsText" dxfId="1862" priority="1874" operator="containsText" text="祝">
      <formula>NOT(ISERROR(SEARCH("祝",F47)))</formula>
    </cfRule>
    <cfRule type="containsText" dxfId="1861" priority="1875" operator="containsText" text="祝">
      <formula>NOT(ISERROR(SEARCH("祝",F47)))</formula>
    </cfRule>
    <cfRule type="containsText" dxfId="1860" priority="1876" operator="containsText" text="祝">
      <formula>NOT(ISERROR(SEARCH("祝",F47)))</formula>
    </cfRule>
    <cfRule type="containsText" dxfId="1859" priority="1877" operator="containsText" text="祝">
      <formula>NOT(ISERROR(SEARCH("祝",F47)))</formula>
    </cfRule>
    <cfRule type="containsText" dxfId="1858" priority="1878" operator="containsText" text="盆">
      <formula>NOT(ISERROR(SEARCH("盆",F47)))</formula>
    </cfRule>
  </conditionalFormatting>
  <conditionalFormatting sqref="G47">
    <cfRule type="containsText" dxfId="1857" priority="1863" operator="containsText" text="正">
      <formula>NOT(ISERROR(SEARCH("正",G47)))</formula>
    </cfRule>
    <cfRule type="containsText" dxfId="1856" priority="1864" operator="containsText" text="Ｇ">
      <formula>NOT(ISERROR(SEARCH("Ｇ",G47)))</formula>
    </cfRule>
    <cfRule type="containsText" dxfId="1855" priority="1865" operator="containsText" text="祝">
      <formula>NOT(ISERROR(SEARCH("祝",G47)))</formula>
    </cfRule>
    <cfRule type="containsText" dxfId="1854" priority="1866" operator="containsText" text="祝">
      <formula>NOT(ISERROR(SEARCH("祝",G47)))</formula>
    </cfRule>
    <cfRule type="containsText" dxfId="1853" priority="1867" operator="containsText" text="祝">
      <formula>NOT(ISERROR(SEARCH("祝",G47)))</formula>
    </cfRule>
    <cfRule type="containsText" dxfId="1852" priority="1868" operator="containsText" text="祝">
      <formula>NOT(ISERROR(SEARCH("祝",G47)))</formula>
    </cfRule>
    <cfRule type="containsText" dxfId="1851" priority="1869" operator="containsText" text="祝">
      <formula>NOT(ISERROR(SEARCH("祝",G47)))</formula>
    </cfRule>
    <cfRule type="containsText" dxfId="1850" priority="1870" operator="containsText" text="盆">
      <formula>NOT(ISERROR(SEARCH("盆",G47)))</formula>
    </cfRule>
  </conditionalFormatting>
  <conditionalFormatting sqref="C47">
    <cfRule type="containsText" dxfId="1849" priority="1847" operator="containsText" text="正">
      <formula>NOT(ISERROR(SEARCH("正",C47)))</formula>
    </cfRule>
    <cfRule type="containsText" dxfId="1848" priority="1848" operator="containsText" text="Ｇ">
      <formula>NOT(ISERROR(SEARCH("Ｇ",C47)))</formula>
    </cfRule>
    <cfRule type="containsText" dxfId="1847" priority="1849" operator="containsText" text="祝">
      <formula>NOT(ISERROR(SEARCH("祝",C47)))</formula>
    </cfRule>
    <cfRule type="containsText" dxfId="1846" priority="1850" operator="containsText" text="祝">
      <formula>NOT(ISERROR(SEARCH("祝",C47)))</formula>
    </cfRule>
    <cfRule type="containsText" dxfId="1845" priority="1851" operator="containsText" text="祝">
      <formula>NOT(ISERROR(SEARCH("祝",C47)))</formula>
    </cfRule>
    <cfRule type="containsText" dxfId="1844" priority="1852" operator="containsText" text="祝">
      <formula>NOT(ISERROR(SEARCH("祝",C47)))</formula>
    </cfRule>
    <cfRule type="containsText" dxfId="1843" priority="1853" operator="containsText" text="祝">
      <formula>NOT(ISERROR(SEARCH("祝",C47)))</formula>
    </cfRule>
    <cfRule type="containsText" dxfId="1842" priority="1854" operator="containsText" text="盆">
      <formula>NOT(ISERROR(SEARCH("盆",C47)))</formula>
    </cfRule>
  </conditionalFormatting>
  <conditionalFormatting sqref="D47">
    <cfRule type="containsText" dxfId="1841" priority="1839" operator="containsText" text="正">
      <formula>NOT(ISERROR(SEARCH("正",D47)))</formula>
    </cfRule>
    <cfRule type="containsText" dxfId="1840" priority="1840" operator="containsText" text="Ｇ">
      <formula>NOT(ISERROR(SEARCH("Ｇ",D47)))</formula>
    </cfRule>
    <cfRule type="containsText" dxfId="1839" priority="1841" operator="containsText" text="祝">
      <formula>NOT(ISERROR(SEARCH("祝",D47)))</formula>
    </cfRule>
    <cfRule type="containsText" dxfId="1838" priority="1842" operator="containsText" text="祝">
      <formula>NOT(ISERROR(SEARCH("祝",D47)))</formula>
    </cfRule>
    <cfRule type="containsText" dxfId="1837" priority="1843" operator="containsText" text="祝">
      <formula>NOT(ISERROR(SEARCH("祝",D47)))</formula>
    </cfRule>
    <cfRule type="containsText" dxfId="1836" priority="1844" operator="containsText" text="祝">
      <formula>NOT(ISERROR(SEARCH("祝",D47)))</formula>
    </cfRule>
    <cfRule type="containsText" dxfId="1835" priority="1845" operator="containsText" text="祝">
      <formula>NOT(ISERROR(SEARCH("祝",D47)))</formula>
    </cfRule>
    <cfRule type="containsText" dxfId="1834" priority="1846" operator="containsText" text="盆">
      <formula>NOT(ISERROR(SEARCH("盆",D47)))</formula>
    </cfRule>
  </conditionalFormatting>
  <conditionalFormatting sqref="J47">
    <cfRule type="containsText" dxfId="1833" priority="1831" operator="containsText" text="正">
      <formula>NOT(ISERROR(SEARCH("正",J47)))</formula>
    </cfRule>
    <cfRule type="containsText" dxfId="1832" priority="1832" operator="containsText" text="Ｇ">
      <formula>NOT(ISERROR(SEARCH("Ｇ",J47)))</formula>
    </cfRule>
    <cfRule type="containsText" dxfId="1831" priority="1833" operator="containsText" text="祝">
      <formula>NOT(ISERROR(SEARCH("祝",J47)))</formula>
    </cfRule>
    <cfRule type="containsText" dxfId="1830" priority="1834" operator="containsText" text="祝">
      <formula>NOT(ISERROR(SEARCH("祝",J47)))</formula>
    </cfRule>
    <cfRule type="containsText" dxfId="1829" priority="1835" operator="containsText" text="祝">
      <formula>NOT(ISERROR(SEARCH("祝",J47)))</formula>
    </cfRule>
    <cfRule type="containsText" dxfId="1828" priority="1836" operator="containsText" text="祝">
      <formula>NOT(ISERROR(SEARCH("祝",J47)))</formula>
    </cfRule>
    <cfRule type="containsText" dxfId="1827" priority="1837" operator="containsText" text="祝">
      <formula>NOT(ISERROR(SEARCH("祝",J47)))</formula>
    </cfRule>
    <cfRule type="containsText" dxfId="1826" priority="1838" operator="containsText" text="盆">
      <formula>NOT(ISERROR(SEARCH("盆",J47)))</formula>
    </cfRule>
  </conditionalFormatting>
  <conditionalFormatting sqref="K47">
    <cfRule type="containsText" dxfId="1825" priority="1823" operator="containsText" text="正">
      <formula>NOT(ISERROR(SEARCH("正",K47)))</formula>
    </cfRule>
    <cfRule type="containsText" dxfId="1824" priority="1824" operator="containsText" text="Ｇ">
      <formula>NOT(ISERROR(SEARCH("Ｇ",K47)))</formula>
    </cfRule>
    <cfRule type="containsText" dxfId="1823" priority="1825" operator="containsText" text="祝">
      <formula>NOT(ISERROR(SEARCH("祝",K47)))</formula>
    </cfRule>
    <cfRule type="containsText" dxfId="1822" priority="1826" operator="containsText" text="祝">
      <formula>NOT(ISERROR(SEARCH("祝",K47)))</formula>
    </cfRule>
    <cfRule type="containsText" dxfId="1821" priority="1827" operator="containsText" text="祝">
      <formula>NOT(ISERROR(SEARCH("祝",K47)))</formula>
    </cfRule>
    <cfRule type="containsText" dxfId="1820" priority="1828" operator="containsText" text="祝">
      <formula>NOT(ISERROR(SEARCH("祝",K47)))</formula>
    </cfRule>
    <cfRule type="containsText" dxfId="1819" priority="1829" operator="containsText" text="祝">
      <formula>NOT(ISERROR(SEARCH("祝",K47)))</formula>
    </cfRule>
    <cfRule type="containsText" dxfId="1818" priority="1830" operator="containsText" text="盆">
      <formula>NOT(ISERROR(SEARCH("盆",K47)))</formula>
    </cfRule>
  </conditionalFormatting>
  <conditionalFormatting sqref="Q47">
    <cfRule type="containsText" dxfId="1817" priority="1815" operator="containsText" text="正">
      <formula>NOT(ISERROR(SEARCH("正",Q47)))</formula>
    </cfRule>
    <cfRule type="containsText" dxfId="1816" priority="1816" operator="containsText" text="Ｇ">
      <formula>NOT(ISERROR(SEARCH("Ｇ",Q47)))</formula>
    </cfRule>
    <cfRule type="containsText" dxfId="1815" priority="1817" operator="containsText" text="祝">
      <formula>NOT(ISERROR(SEARCH("祝",Q47)))</formula>
    </cfRule>
    <cfRule type="containsText" dxfId="1814" priority="1818" operator="containsText" text="祝">
      <formula>NOT(ISERROR(SEARCH("祝",Q47)))</formula>
    </cfRule>
    <cfRule type="containsText" dxfId="1813" priority="1819" operator="containsText" text="祝">
      <formula>NOT(ISERROR(SEARCH("祝",Q47)))</formula>
    </cfRule>
    <cfRule type="containsText" dxfId="1812" priority="1820" operator="containsText" text="祝">
      <formula>NOT(ISERROR(SEARCH("祝",Q47)))</formula>
    </cfRule>
    <cfRule type="containsText" dxfId="1811" priority="1821" operator="containsText" text="祝">
      <formula>NOT(ISERROR(SEARCH("祝",Q47)))</formula>
    </cfRule>
    <cfRule type="containsText" dxfId="1810" priority="1822" operator="containsText" text="盆">
      <formula>NOT(ISERROR(SEARCH("盆",Q47)))</formula>
    </cfRule>
  </conditionalFormatting>
  <conditionalFormatting sqref="R47">
    <cfRule type="containsText" dxfId="1809" priority="1807" operator="containsText" text="正">
      <formula>NOT(ISERROR(SEARCH("正",R47)))</formula>
    </cfRule>
    <cfRule type="containsText" dxfId="1808" priority="1808" operator="containsText" text="Ｇ">
      <formula>NOT(ISERROR(SEARCH("Ｇ",R47)))</formula>
    </cfRule>
    <cfRule type="containsText" dxfId="1807" priority="1809" operator="containsText" text="祝">
      <formula>NOT(ISERROR(SEARCH("祝",R47)))</formula>
    </cfRule>
    <cfRule type="containsText" dxfId="1806" priority="1810" operator="containsText" text="祝">
      <formula>NOT(ISERROR(SEARCH("祝",R47)))</formula>
    </cfRule>
    <cfRule type="containsText" dxfId="1805" priority="1811" operator="containsText" text="祝">
      <formula>NOT(ISERROR(SEARCH("祝",R47)))</formula>
    </cfRule>
    <cfRule type="containsText" dxfId="1804" priority="1812" operator="containsText" text="祝">
      <formula>NOT(ISERROR(SEARCH("祝",R47)))</formula>
    </cfRule>
    <cfRule type="containsText" dxfId="1803" priority="1813" operator="containsText" text="祝">
      <formula>NOT(ISERROR(SEARCH("祝",R47)))</formula>
    </cfRule>
    <cfRule type="containsText" dxfId="1802" priority="1814" operator="containsText" text="盆">
      <formula>NOT(ISERROR(SEARCH("盆",R47)))</formula>
    </cfRule>
  </conditionalFormatting>
  <conditionalFormatting sqref="X47">
    <cfRule type="containsText" dxfId="1801" priority="1799" operator="containsText" text="正">
      <formula>NOT(ISERROR(SEARCH("正",X47)))</formula>
    </cfRule>
    <cfRule type="containsText" dxfId="1800" priority="1800" operator="containsText" text="Ｇ">
      <formula>NOT(ISERROR(SEARCH("Ｇ",X47)))</formula>
    </cfRule>
    <cfRule type="containsText" dxfId="1799" priority="1801" operator="containsText" text="祝">
      <formula>NOT(ISERROR(SEARCH("祝",X47)))</formula>
    </cfRule>
    <cfRule type="containsText" dxfId="1798" priority="1802" operator="containsText" text="祝">
      <formula>NOT(ISERROR(SEARCH("祝",X47)))</formula>
    </cfRule>
    <cfRule type="containsText" dxfId="1797" priority="1803" operator="containsText" text="祝">
      <formula>NOT(ISERROR(SEARCH("祝",X47)))</formula>
    </cfRule>
    <cfRule type="containsText" dxfId="1796" priority="1804" operator="containsText" text="祝">
      <formula>NOT(ISERROR(SEARCH("祝",X47)))</formula>
    </cfRule>
    <cfRule type="containsText" dxfId="1795" priority="1805" operator="containsText" text="祝">
      <formula>NOT(ISERROR(SEARCH("祝",X47)))</formula>
    </cfRule>
    <cfRule type="containsText" dxfId="1794" priority="1806" operator="containsText" text="盆">
      <formula>NOT(ISERROR(SEARCH("盆",X47)))</formula>
    </cfRule>
  </conditionalFormatting>
  <conditionalFormatting sqref="Y47">
    <cfRule type="containsText" dxfId="1793" priority="1791" operator="containsText" text="正">
      <formula>NOT(ISERROR(SEARCH("正",Y47)))</formula>
    </cfRule>
    <cfRule type="containsText" dxfId="1792" priority="1792" operator="containsText" text="Ｇ">
      <formula>NOT(ISERROR(SEARCH("Ｇ",Y47)))</formula>
    </cfRule>
    <cfRule type="containsText" dxfId="1791" priority="1793" operator="containsText" text="祝">
      <formula>NOT(ISERROR(SEARCH("祝",Y47)))</formula>
    </cfRule>
    <cfRule type="containsText" dxfId="1790" priority="1794" operator="containsText" text="祝">
      <formula>NOT(ISERROR(SEARCH("祝",Y47)))</formula>
    </cfRule>
    <cfRule type="containsText" dxfId="1789" priority="1795" operator="containsText" text="祝">
      <formula>NOT(ISERROR(SEARCH("祝",Y47)))</formula>
    </cfRule>
    <cfRule type="containsText" dxfId="1788" priority="1796" operator="containsText" text="祝">
      <formula>NOT(ISERROR(SEARCH("祝",Y47)))</formula>
    </cfRule>
    <cfRule type="containsText" dxfId="1787" priority="1797" operator="containsText" text="祝">
      <formula>NOT(ISERROR(SEARCH("祝",Y47)))</formula>
    </cfRule>
    <cfRule type="containsText" dxfId="1786" priority="1798" operator="containsText" text="盆">
      <formula>NOT(ISERROR(SEARCH("盆",Y47)))</formula>
    </cfRule>
  </conditionalFormatting>
  <conditionalFormatting sqref="H59:I59 L59:P59 S59:W59 Z59:AD59">
    <cfRule type="containsText" dxfId="1785" priority="1663" operator="containsText" text="正">
      <formula>NOT(ISERROR(SEARCH("正",H59)))</formula>
    </cfRule>
    <cfRule type="containsText" dxfId="1784" priority="1664" operator="containsText" text="Ｇ">
      <formula>NOT(ISERROR(SEARCH("Ｇ",H59)))</formula>
    </cfRule>
    <cfRule type="containsText" dxfId="1783" priority="1665" operator="containsText" text="祝">
      <formula>NOT(ISERROR(SEARCH("祝",H59)))</formula>
    </cfRule>
    <cfRule type="containsText" dxfId="1782" priority="1666" operator="containsText" text="祝">
      <formula>NOT(ISERROR(SEARCH("祝",H59)))</formula>
    </cfRule>
    <cfRule type="containsText" dxfId="1781" priority="1667" operator="containsText" text="祝">
      <formula>NOT(ISERROR(SEARCH("祝",H59)))</formula>
    </cfRule>
    <cfRule type="containsText" dxfId="1780" priority="1668" operator="containsText" text="祝">
      <formula>NOT(ISERROR(SEARCH("祝",H59)))</formula>
    </cfRule>
    <cfRule type="containsText" dxfId="1779" priority="1669" operator="containsText" text="祝">
      <formula>NOT(ISERROR(SEARCH("祝",H59)))</formula>
    </cfRule>
    <cfRule type="containsText" dxfId="1778" priority="1670" operator="containsText" text="盆">
      <formula>NOT(ISERROR(SEARCH("盆",H59)))</formula>
    </cfRule>
  </conditionalFormatting>
  <conditionalFormatting sqref="E59">
    <cfRule type="containsText" dxfId="1777" priority="1687" operator="containsText" text="正">
      <formula>NOT(ISERROR(SEARCH("正",E59)))</formula>
    </cfRule>
    <cfRule type="containsText" dxfId="1776" priority="1688" operator="containsText" text="Ｇ">
      <formula>NOT(ISERROR(SEARCH("Ｇ",E59)))</formula>
    </cfRule>
    <cfRule type="containsText" dxfId="1775" priority="1689" operator="containsText" text="祝">
      <formula>NOT(ISERROR(SEARCH("祝",E59)))</formula>
    </cfRule>
    <cfRule type="containsText" dxfId="1774" priority="1690" operator="containsText" text="祝">
      <formula>NOT(ISERROR(SEARCH("祝",E59)))</formula>
    </cfRule>
    <cfRule type="containsText" dxfId="1773" priority="1691" operator="containsText" text="祝">
      <formula>NOT(ISERROR(SEARCH("祝",E59)))</formula>
    </cfRule>
    <cfRule type="containsText" dxfId="1772" priority="1692" operator="containsText" text="祝">
      <formula>NOT(ISERROR(SEARCH("祝",E59)))</formula>
    </cfRule>
    <cfRule type="containsText" dxfId="1771" priority="1693" operator="containsText" text="祝">
      <formula>NOT(ISERROR(SEARCH("祝",E59)))</formula>
    </cfRule>
    <cfRule type="containsText" dxfId="1770" priority="1694" operator="containsText" text="盆">
      <formula>NOT(ISERROR(SEARCH("盆",E59)))</formula>
    </cfRule>
  </conditionalFormatting>
  <conditionalFormatting sqref="F59">
    <cfRule type="containsText" dxfId="1769" priority="1679" operator="containsText" text="正">
      <formula>NOT(ISERROR(SEARCH("正",F59)))</formula>
    </cfRule>
    <cfRule type="containsText" dxfId="1768" priority="1680" operator="containsText" text="Ｇ">
      <formula>NOT(ISERROR(SEARCH("Ｇ",F59)))</formula>
    </cfRule>
    <cfRule type="containsText" dxfId="1767" priority="1681" operator="containsText" text="祝">
      <formula>NOT(ISERROR(SEARCH("祝",F59)))</formula>
    </cfRule>
    <cfRule type="containsText" dxfId="1766" priority="1682" operator="containsText" text="祝">
      <formula>NOT(ISERROR(SEARCH("祝",F59)))</formula>
    </cfRule>
    <cfRule type="containsText" dxfId="1765" priority="1683" operator="containsText" text="祝">
      <formula>NOT(ISERROR(SEARCH("祝",F59)))</formula>
    </cfRule>
    <cfRule type="containsText" dxfId="1764" priority="1684" operator="containsText" text="祝">
      <formula>NOT(ISERROR(SEARCH("祝",F59)))</formula>
    </cfRule>
    <cfRule type="containsText" dxfId="1763" priority="1685" operator="containsText" text="祝">
      <formula>NOT(ISERROR(SEARCH("祝",F59)))</formula>
    </cfRule>
    <cfRule type="containsText" dxfId="1762" priority="1686" operator="containsText" text="盆">
      <formula>NOT(ISERROR(SEARCH("盆",F59)))</formula>
    </cfRule>
  </conditionalFormatting>
  <conditionalFormatting sqref="G59">
    <cfRule type="containsText" dxfId="1761" priority="1671" operator="containsText" text="正">
      <formula>NOT(ISERROR(SEARCH("正",G59)))</formula>
    </cfRule>
    <cfRule type="containsText" dxfId="1760" priority="1672" operator="containsText" text="Ｇ">
      <formula>NOT(ISERROR(SEARCH("Ｇ",G59)))</formula>
    </cfRule>
    <cfRule type="containsText" dxfId="1759" priority="1673" operator="containsText" text="祝">
      <formula>NOT(ISERROR(SEARCH("祝",G59)))</formula>
    </cfRule>
    <cfRule type="containsText" dxfId="1758" priority="1674" operator="containsText" text="祝">
      <formula>NOT(ISERROR(SEARCH("祝",G59)))</formula>
    </cfRule>
    <cfRule type="containsText" dxfId="1757" priority="1675" operator="containsText" text="祝">
      <formula>NOT(ISERROR(SEARCH("祝",G59)))</formula>
    </cfRule>
    <cfRule type="containsText" dxfId="1756" priority="1676" operator="containsText" text="祝">
      <formula>NOT(ISERROR(SEARCH("祝",G59)))</formula>
    </cfRule>
    <cfRule type="containsText" dxfId="1755" priority="1677" operator="containsText" text="祝">
      <formula>NOT(ISERROR(SEARCH("祝",G59)))</formula>
    </cfRule>
    <cfRule type="containsText" dxfId="1754" priority="1678" operator="containsText" text="盆">
      <formula>NOT(ISERROR(SEARCH("盆",G59)))</formula>
    </cfRule>
  </conditionalFormatting>
  <conditionalFormatting sqref="C59">
    <cfRule type="containsText" dxfId="1753" priority="1655" operator="containsText" text="正">
      <formula>NOT(ISERROR(SEARCH("正",C59)))</formula>
    </cfRule>
    <cfRule type="containsText" dxfId="1752" priority="1656" operator="containsText" text="Ｇ">
      <formula>NOT(ISERROR(SEARCH("Ｇ",C59)))</formula>
    </cfRule>
    <cfRule type="containsText" dxfId="1751" priority="1657" operator="containsText" text="祝">
      <formula>NOT(ISERROR(SEARCH("祝",C59)))</formula>
    </cfRule>
    <cfRule type="containsText" dxfId="1750" priority="1658" operator="containsText" text="祝">
      <formula>NOT(ISERROR(SEARCH("祝",C59)))</formula>
    </cfRule>
    <cfRule type="containsText" dxfId="1749" priority="1659" operator="containsText" text="祝">
      <formula>NOT(ISERROR(SEARCH("祝",C59)))</formula>
    </cfRule>
    <cfRule type="containsText" dxfId="1748" priority="1660" operator="containsText" text="祝">
      <formula>NOT(ISERROR(SEARCH("祝",C59)))</formula>
    </cfRule>
    <cfRule type="containsText" dxfId="1747" priority="1661" operator="containsText" text="祝">
      <formula>NOT(ISERROR(SEARCH("祝",C59)))</formula>
    </cfRule>
    <cfRule type="containsText" dxfId="1746" priority="1662" operator="containsText" text="盆">
      <formula>NOT(ISERROR(SEARCH("盆",C59)))</formula>
    </cfRule>
  </conditionalFormatting>
  <conditionalFormatting sqref="D59">
    <cfRule type="containsText" dxfId="1745" priority="1647" operator="containsText" text="正">
      <formula>NOT(ISERROR(SEARCH("正",D59)))</formula>
    </cfRule>
    <cfRule type="containsText" dxfId="1744" priority="1648" operator="containsText" text="Ｇ">
      <formula>NOT(ISERROR(SEARCH("Ｇ",D59)))</formula>
    </cfRule>
    <cfRule type="containsText" dxfId="1743" priority="1649" operator="containsText" text="祝">
      <formula>NOT(ISERROR(SEARCH("祝",D59)))</formula>
    </cfRule>
    <cfRule type="containsText" dxfId="1742" priority="1650" operator="containsText" text="祝">
      <formula>NOT(ISERROR(SEARCH("祝",D59)))</formula>
    </cfRule>
    <cfRule type="containsText" dxfId="1741" priority="1651" operator="containsText" text="祝">
      <formula>NOT(ISERROR(SEARCH("祝",D59)))</formula>
    </cfRule>
    <cfRule type="containsText" dxfId="1740" priority="1652" operator="containsText" text="祝">
      <formula>NOT(ISERROR(SEARCH("祝",D59)))</formula>
    </cfRule>
    <cfRule type="containsText" dxfId="1739" priority="1653" operator="containsText" text="祝">
      <formula>NOT(ISERROR(SEARCH("祝",D59)))</formula>
    </cfRule>
    <cfRule type="containsText" dxfId="1738" priority="1654" operator="containsText" text="盆">
      <formula>NOT(ISERROR(SEARCH("盆",D59)))</formula>
    </cfRule>
  </conditionalFormatting>
  <conditionalFormatting sqref="J59">
    <cfRule type="containsText" dxfId="1737" priority="1639" operator="containsText" text="正">
      <formula>NOT(ISERROR(SEARCH("正",J59)))</formula>
    </cfRule>
    <cfRule type="containsText" dxfId="1736" priority="1640" operator="containsText" text="Ｇ">
      <formula>NOT(ISERROR(SEARCH("Ｇ",J59)))</formula>
    </cfRule>
    <cfRule type="containsText" dxfId="1735" priority="1641" operator="containsText" text="祝">
      <formula>NOT(ISERROR(SEARCH("祝",J59)))</formula>
    </cfRule>
    <cfRule type="containsText" dxfId="1734" priority="1642" operator="containsText" text="祝">
      <formula>NOT(ISERROR(SEARCH("祝",J59)))</formula>
    </cfRule>
    <cfRule type="containsText" dxfId="1733" priority="1643" operator="containsText" text="祝">
      <formula>NOT(ISERROR(SEARCH("祝",J59)))</formula>
    </cfRule>
    <cfRule type="containsText" dxfId="1732" priority="1644" operator="containsText" text="祝">
      <formula>NOT(ISERROR(SEARCH("祝",J59)))</formula>
    </cfRule>
    <cfRule type="containsText" dxfId="1731" priority="1645" operator="containsText" text="祝">
      <formula>NOT(ISERROR(SEARCH("祝",J59)))</formula>
    </cfRule>
    <cfRule type="containsText" dxfId="1730" priority="1646" operator="containsText" text="盆">
      <formula>NOT(ISERROR(SEARCH("盆",J59)))</formula>
    </cfRule>
  </conditionalFormatting>
  <conditionalFormatting sqref="K59">
    <cfRule type="containsText" dxfId="1729" priority="1631" operator="containsText" text="正">
      <formula>NOT(ISERROR(SEARCH("正",K59)))</formula>
    </cfRule>
    <cfRule type="containsText" dxfId="1728" priority="1632" operator="containsText" text="Ｇ">
      <formula>NOT(ISERROR(SEARCH("Ｇ",K59)))</formula>
    </cfRule>
    <cfRule type="containsText" dxfId="1727" priority="1633" operator="containsText" text="祝">
      <formula>NOT(ISERROR(SEARCH("祝",K59)))</formula>
    </cfRule>
    <cfRule type="containsText" dxfId="1726" priority="1634" operator="containsText" text="祝">
      <formula>NOT(ISERROR(SEARCH("祝",K59)))</formula>
    </cfRule>
    <cfRule type="containsText" dxfId="1725" priority="1635" operator="containsText" text="祝">
      <formula>NOT(ISERROR(SEARCH("祝",K59)))</formula>
    </cfRule>
    <cfRule type="containsText" dxfId="1724" priority="1636" operator="containsText" text="祝">
      <formula>NOT(ISERROR(SEARCH("祝",K59)))</formula>
    </cfRule>
    <cfRule type="containsText" dxfId="1723" priority="1637" operator="containsText" text="祝">
      <formula>NOT(ISERROR(SEARCH("祝",K59)))</formula>
    </cfRule>
    <cfRule type="containsText" dxfId="1722" priority="1638" operator="containsText" text="盆">
      <formula>NOT(ISERROR(SEARCH("盆",K59)))</formula>
    </cfRule>
  </conditionalFormatting>
  <conditionalFormatting sqref="Q59">
    <cfRule type="containsText" dxfId="1721" priority="1623" operator="containsText" text="正">
      <formula>NOT(ISERROR(SEARCH("正",Q59)))</formula>
    </cfRule>
    <cfRule type="containsText" dxfId="1720" priority="1624" operator="containsText" text="Ｇ">
      <formula>NOT(ISERROR(SEARCH("Ｇ",Q59)))</formula>
    </cfRule>
    <cfRule type="containsText" dxfId="1719" priority="1625" operator="containsText" text="祝">
      <formula>NOT(ISERROR(SEARCH("祝",Q59)))</formula>
    </cfRule>
    <cfRule type="containsText" dxfId="1718" priority="1626" operator="containsText" text="祝">
      <formula>NOT(ISERROR(SEARCH("祝",Q59)))</formula>
    </cfRule>
    <cfRule type="containsText" dxfId="1717" priority="1627" operator="containsText" text="祝">
      <formula>NOT(ISERROR(SEARCH("祝",Q59)))</formula>
    </cfRule>
    <cfRule type="containsText" dxfId="1716" priority="1628" operator="containsText" text="祝">
      <formula>NOT(ISERROR(SEARCH("祝",Q59)))</formula>
    </cfRule>
    <cfRule type="containsText" dxfId="1715" priority="1629" operator="containsText" text="祝">
      <formula>NOT(ISERROR(SEARCH("祝",Q59)))</formula>
    </cfRule>
    <cfRule type="containsText" dxfId="1714" priority="1630" operator="containsText" text="盆">
      <formula>NOT(ISERROR(SEARCH("盆",Q59)))</formula>
    </cfRule>
  </conditionalFormatting>
  <conditionalFormatting sqref="R59">
    <cfRule type="containsText" dxfId="1713" priority="1615" operator="containsText" text="正">
      <formula>NOT(ISERROR(SEARCH("正",R59)))</formula>
    </cfRule>
    <cfRule type="containsText" dxfId="1712" priority="1616" operator="containsText" text="Ｇ">
      <formula>NOT(ISERROR(SEARCH("Ｇ",R59)))</formula>
    </cfRule>
    <cfRule type="containsText" dxfId="1711" priority="1617" operator="containsText" text="祝">
      <formula>NOT(ISERROR(SEARCH("祝",R59)))</formula>
    </cfRule>
    <cfRule type="containsText" dxfId="1710" priority="1618" operator="containsText" text="祝">
      <formula>NOT(ISERROR(SEARCH("祝",R59)))</formula>
    </cfRule>
    <cfRule type="containsText" dxfId="1709" priority="1619" operator="containsText" text="祝">
      <formula>NOT(ISERROR(SEARCH("祝",R59)))</formula>
    </cfRule>
    <cfRule type="containsText" dxfId="1708" priority="1620" operator="containsText" text="祝">
      <formula>NOT(ISERROR(SEARCH("祝",R59)))</formula>
    </cfRule>
    <cfRule type="containsText" dxfId="1707" priority="1621" operator="containsText" text="祝">
      <formula>NOT(ISERROR(SEARCH("祝",R59)))</formula>
    </cfRule>
    <cfRule type="containsText" dxfId="1706" priority="1622" operator="containsText" text="盆">
      <formula>NOT(ISERROR(SEARCH("盆",R59)))</formula>
    </cfRule>
  </conditionalFormatting>
  <conditionalFormatting sqref="X59">
    <cfRule type="containsText" dxfId="1705" priority="1607" operator="containsText" text="正">
      <formula>NOT(ISERROR(SEARCH("正",X59)))</formula>
    </cfRule>
    <cfRule type="containsText" dxfId="1704" priority="1608" operator="containsText" text="Ｇ">
      <formula>NOT(ISERROR(SEARCH("Ｇ",X59)))</formula>
    </cfRule>
    <cfRule type="containsText" dxfId="1703" priority="1609" operator="containsText" text="祝">
      <formula>NOT(ISERROR(SEARCH("祝",X59)))</formula>
    </cfRule>
    <cfRule type="containsText" dxfId="1702" priority="1610" operator="containsText" text="祝">
      <formula>NOT(ISERROR(SEARCH("祝",X59)))</formula>
    </cfRule>
    <cfRule type="containsText" dxfId="1701" priority="1611" operator="containsText" text="祝">
      <formula>NOT(ISERROR(SEARCH("祝",X59)))</formula>
    </cfRule>
    <cfRule type="containsText" dxfId="1700" priority="1612" operator="containsText" text="祝">
      <formula>NOT(ISERROR(SEARCH("祝",X59)))</formula>
    </cfRule>
    <cfRule type="containsText" dxfId="1699" priority="1613" operator="containsText" text="祝">
      <formula>NOT(ISERROR(SEARCH("祝",X59)))</formula>
    </cfRule>
    <cfRule type="containsText" dxfId="1698" priority="1614" operator="containsText" text="盆">
      <formula>NOT(ISERROR(SEARCH("盆",X59)))</formula>
    </cfRule>
  </conditionalFormatting>
  <conditionalFormatting sqref="Y59">
    <cfRule type="containsText" dxfId="1697" priority="1599" operator="containsText" text="正">
      <formula>NOT(ISERROR(SEARCH("正",Y59)))</formula>
    </cfRule>
    <cfRule type="containsText" dxfId="1696" priority="1600" operator="containsText" text="Ｇ">
      <formula>NOT(ISERROR(SEARCH("Ｇ",Y59)))</formula>
    </cfRule>
    <cfRule type="containsText" dxfId="1695" priority="1601" operator="containsText" text="祝">
      <formula>NOT(ISERROR(SEARCH("祝",Y59)))</formula>
    </cfRule>
    <cfRule type="containsText" dxfId="1694" priority="1602" operator="containsText" text="祝">
      <formula>NOT(ISERROR(SEARCH("祝",Y59)))</formula>
    </cfRule>
    <cfRule type="containsText" dxfId="1693" priority="1603" operator="containsText" text="祝">
      <formula>NOT(ISERROR(SEARCH("祝",Y59)))</formula>
    </cfRule>
    <cfRule type="containsText" dxfId="1692" priority="1604" operator="containsText" text="祝">
      <formula>NOT(ISERROR(SEARCH("祝",Y59)))</formula>
    </cfRule>
    <cfRule type="containsText" dxfId="1691" priority="1605" operator="containsText" text="祝">
      <formula>NOT(ISERROR(SEARCH("祝",Y59)))</formula>
    </cfRule>
    <cfRule type="containsText" dxfId="1690" priority="1606" operator="containsText" text="盆">
      <formula>NOT(ISERROR(SEARCH("盆",Y59)))</formula>
    </cfRule>
  </conditionalFormatting>
  <conditionalFormatting sqref="H41:I41 L41:P41 S41:W41 Z41:AD41">
    <cfRule type="containsText" dxfId="1689" priority="1951" operator="containsText" text="正">
      <formula>NOT(ISERROR(SEARCH("正",H41)))</formula>
    </cfRule>
    <cfRule type="containsText" dxfId="1688" priority="1952" operator="containsText" text="Ｇ">
      <formula>NOT(ISERROR(SEARCH("Ｇ",H41)))</formula>
    </cfRule>
    <cfRule type="containsText" dxfId="1687" priority="1953" operator="containsText" text="祝">
      <formula>NOT(ISERROR(SEARCH("祝",H41)))</formula>
    </cfRule>
    <cfRule type="containsText" dxfId="1686" priority="1954" operator="containsText" text="祝">
      <formula>NOT(ISERROR(SEARCH("祝",H41)))</formula>
    </cfRule>
    <cfRule type="containsText" dxfId="1685" priority="1955" operator="containsText" text="祝">
      <formula>NOT(ISERROR(SEARCH("祝",H41)))</formula>
    </cfRule>
    <cfRule type="containsText" dxfId="1684" priority="1956" operator="containsText" text="祝">
      <formula>NOT(ISERROR(SEARCH("祝",H41)))</formula>
    </cfRule>
    <cfRule type="containsText" dxfId="1683" priority="1957" operator="containsText" text="祝">
      <formula>NOT(ISERROR(SEARCH("祝",H41)))</formula>
    </cfRule>
    <cfRule type="containsText" dxfId="1682" priority="1958" operator="containsText" text="盆">
      <formula>NOT(ISERROR(SEARCH("盆",H41)))</formula>
    </cfRule>
  </conditionalFormatting>
  <conditionalFormatting sqref="E41">
    <cfRule type="containsText" dxfId="1681" priority="1975" operator="containsText" text="正">
      <formula>NOT(ISERROR(SEARCH("正",E41)))</formula>
    </cfRule>
    <cfRule type="containsText" dxfId="1680" priority="1976" operator="containsText" text="Ｇ">
      <formula>NOT(ISERROR(SEARCH("Ｇ",E41)))</formula>
    </cfRule>
    <cfRule type="containsText" dxfId="1679" priority="1977" operator="containsText" text="祝">
      <formula>NOT(ISERROR(SEARCH("祝",E41)))</formula>
    </cfRule>
    <cfRule type="containsText" dxfId="1678" priority="1978" operator="containsText" text="祝">
      <formula>NOT(ISERROR(SEARCH("祝",E41)))</formula>
    </cfRule>
    <cfRule type="containsText" dxfId="1677" priority="1979" operator="containsText" text="祝">
      <formula>NOT(ISERROR(SEARCH("祝",E41)))</formula>
    </cfRule>
    <cfRule type="containsText" dxfId="1676" priority="1980" operator="containsText" text="祝">
      <formula>NOT(ISERROR(SEARCH("祝",E41)))</formula>
    </cfRule>
    <cfRule type="containsText" dxfId="1675" priority="1981" operator="containsText" text="祝">
      <formula>NOT(ISERROR(SEARCH("祝",E41)))</formula>
    </cfRule>
    <cfRule type="containsText" dxfId="1674" priority="1982" operator="containsText" text="盆">
      <formula>NOT(ISERROR(SEARCH("盆",E41)))</formula>
    </cfRule>
  </conditionalFormatting>
  <conditionalFormatting sqref="F41">
    <cfRule type="containsText" dxfId="1673" priority="1967" operator="containsText" text="正">
      <formula>NOT(ISERROR(SEARCH("正",F41)))</formula>
    </cfRule>
    <cfRule type="containsText" dxfId="1672" priority="1968" operator="containsText" text="Ｇ">
      <formula>NOT(ISERROR(SEARCH("Ｇ",F41)))</formula>
    </cfRule>
    <cfRule type="containsText" dxfId="1671" priority="1969" operator="containsText" text="祝">
      <formula>NOT(ISERROR(SEARCH("祝",F41)))</formula>
    </cfRule>
    <cfRule type="containsText" dxfId="1670" priority="1970" operator="containsText" text="祝">
      <formula>NOT(ISERROR(SEARCH("祝",F41)))</formula>
    </cfRule>
    <cfRule type="containsText" dxfId="1669" priority="1971" operator="containsText" text="祝">
      <formula>NOT(ISERROR(SEARCH("祝",F41)))</formula>
    </cfRule>
    <cfRule type="containsText" dxfId="1668" priority="1972" operator="containsText" text="祝">
      <formula>NOT(ISERROR(SEARCH("祝",F41)))</formula>
    </cfRule>
    <cfRule type="containsText" dxfId="1667" priority="1973" operator="containsText" text="祝">
      <formula>NOT(ISERROR(SEARCH("祝",F41)))</formula>
    </cfRule>
    <cfRule type="containsText" dxfId="1666" priority="1974" operator="containsText" text="盆">
      <formula>NOT(ISERROR(SEARCH("盆",F41)))</formula>
    </cfRule>
  </conditionalFormatting>
  <conditionalFormatting sqref="G41">
    <cfRule type="containsText" dxfId="1665" priority="1959" operator="containsText" text="正">
      <formula>NOT(ISERROR(SEARCH("正",G41)))</formula>
    </cfRule>
    <cfRule type="containsText" dxfId="1664" priority="1960" operator="containsText" text="Ｇ">
      <formula>NOT(ISERROR(SEARCH("Ｇ",G41)))</formula>
    </cfRule>
    <cfRule type="containsText" dxfId="1663" priority="1961" operator="containsText" text="祝">
      <formula>NOT(ISERROR(SEARCH("祝",G41)))</formula>
    </cfRule>
    <cfRule type="containsText" dxfId="1662" priority="1962" operator="containsText" text="祝">
      <formula>NOT(ISERROR(SEARCH("祝",G41)))</formula>
    </cfRule>
    <cfRule type="containsText" dxfId="1661" priority="1963" operator="containsText" text="祝">
      <formula>NOT(ISERROR(SEARCH("祝",G41)))</formula>
    </cfRule>
    <cfRule type="containsText" dxfId="1660" priority="1964" operator="containsText" text="祝">
      <formula>NOT(ISERROR(SEARCH("祝",G41)))</formula>
    </cfRule>
    <cfRule type="containsText" dxfId="1659" priority="1965" operator="containsText" text="祝">
      <formula>NOT(ISERROR(SEARCH("祝",G41)))</formula>
    </cfRule>
    <cfRule type="containsText" dxfId="1658" priority="1966" operator="containsText" text="盆">
      <formula>NOT(ISERROR(SEARCH("盆",G41)))</formula>
    </cfRule>
  </conditionalFormatting>
  <conditionalFormatting sqref="C41">
    <cfRule type="containsText" dxfId="1657" priority="1943" operator="containsText" text="正">
      <formula>NOT(ISERROR(SEARCH("正",C41)))</formula>
    </cfRule>
    <cfRule type="containsText" dxfId="1656" priority="1944" operator="containsText" text="Ｇ">
      <formula>NOT(ISERROR(SEARCH("Ｇ",C41)))</formula>
    </cfRule>
    <cfRule type="containsText" dxfId="1655" priority="1945" operator="containsText" text="祝">
      <formula>NOT(ISERROR(SEARCH("祝",C41)))</formula>
    </cfRule>
    <cfRule type="containsText" dxfId="1654" priority="1946" operator="containsText" text="祝">
      <formula>NOT(ISERROR(SEARCH("祝",C41)))</formula>
    </cfRule>
    <cfRule type="containsText" dxfId="1653" priority="1947" operator="containsText" text="祝">
      <formula>NOT(ISERROR(SEARCH("祝",C41)))</formula>
    </cfRule>
    <cfRule type="containsText" dxfId="1652" priority="1948" operator="containsText" text="祝">
      <formula>NOT(ISERROR(SEARCH("祝",C41)))</formula>
    </cfRule>
    <cfRule type="containsText" dxfId="1651" priority="1949" operator="containsText" text="祝">
      <formula>NOT(ISERROR(SEARCH("祝",C41)))</formula>
    </cfRule>
    <cfRule type="containsText" dxfId="1650" priority="1950" operator="containsText" text="盆">
      <formula>NOT(ISERROR(SEARCH("盆",C41)))</formula>
    </cfRule>
  </conditionalFormatting>
  <conditionalFormatting sqref="D41">
    <cfRule type="containsText" dxfId="1649" priority="1935" operator="containsText" text="正">
      <formula>NOT(ISERROR(SEARCH("正",D41)))</formula>
    </cfRule>
    <cfRule type="containsText" dxfId="1648" priority="1936" operator="containsText" text="Ｇ">
      <formula>NOT(ISERROR(SEARCH("Ｇ",D41)))</formula>
    </cfRule>
    <cfRule type="containsText" dxfId="1647" priority="1937" operator="containsText" text="祝">
      <formula>NOT(ISERROR(SEARCH("祝",D41)))</formula>
    </cfRule>
    <cfRule type="containsText" dxfId="1646" priority="1938" operator="containsText" text="祝">
      <formula>NOT(ISERROR(SEARCH("祝",D41)))</formula>
    </cfRule>
    <cfRule type="containsText" dxfId="1645" priority="1939" operator="containsText" text="祝">
      <formula>NOT(ISERROR(SEARCH("祝",D41)))</formula>
    </cfRule>
    <cfRule type="containsText" dxfId="1644" priority="1940" operator="containsText" text="祝">
      <formula>NOT(ISERROR(SEARCH("祝",D41)))</formula>
    </cfRule>
    <cfRule type="containsText" dxfId="1643" priority="1941" operator="containsText" text="祝">
      <formula>NOT(ISERROR(SEARCH("祝",D41)))</formula>
    </cfRule>
    <cfRule type="containsText" dxfId="1642" priority="1942" operator="containsText" text="盆">
      <formula>NOT(ISERROR(SEARCH("盆",D41)))</formula>
    </cfRule>
  </conditionalFormatting>
  <conditionalFormatting sqref="J41">
    <cfRule type="containsText" dxfId="1641" priority="1927" operator="containsText" text="正">
      <formula>NOT(ISERROR(SEARCH("正",J41)))</formula>
    </cfRule>
    <cfRule type="containsText" dxfId="1640" priority="1928" operator="containsText" text="Ｇ">
      <formula>NOT(ISERROR(SEARCH("Ｇ",J41)))</formula>
    </cfRule>
    <cfRule type="containsText" dxfId="1639" priority="1929" operator="containsText" text="祝">
      <formula>NOT(ISERROR(SEARCH("祝",J41)))</formula>
    </cfRule>
    <cfRule type="containsText" dxfId="1638" priority="1930" operator="containsText" text="祝">
      <formula>NOT(ISERROR(SEARCH("祝",J41)))</formula>
    </cfRule>
    <cfRule type="containsText" dxfId="1637" priority="1931" operator="containsText" text="祝">
      <formula>NOT(ISERROR(SEARCH("祝",J41)))</formula>
    </cfRule>
    <cfRule type="containsText" dxfId="1636" priority="1932" operator="containsText" text="祝">
      <formula>NOT(ISERROR(SEARCH("祝",J41)))</formula>
    </cfRule>
    <cfRule type="containsText" dxfId="1635" priority="1933" operator="containsText" text="祝">
      <formula>NOT(ISERROR(SEARCH("祝",J41)))</formula>
    </cfRule>
    <cfRule type="containsText" dxfId="1634" priority="1934" operator="containsText" text="盆">
      <formula>NOT(ISERROR(SEARCH("盆",J41)))</formula>
    </cfRule>
  </conditionalFormatting>
  <conditionalFormatting sqref="K41">
    <cfRule type="containsText" dxfId="1633" priority="1919" operator="containsText" text="正">
      <formula>NOT(ISERROR(SEARCH("正",K41)))</formula>
    </cfRule>
    <cfRule type="containsText" dxfId="1632" priority="1920" operator="containsText" text="Ｇ">
      <formula>NOT(ISERROR(SEARCH("Ｇ",K41)))</formula>
    </cfRule>
    <cfRule type="containsText" dxfId="1631" priority="1921" operator="containsText" text="祝">
      <formula>NOT(ISERROR(SEARCH("祝",K41)))</formula>
    </cfRule>
    <cfRule type="containsText" dxfId="1630" priority="1922" operator="containsText" text="祝">
      <formula>NOT(ISERROR(SEARCH("祝",K41)))</formula>
    </cfRule>
    <cfRule type="containsText" dxfId="1629" priority="1923" operator="containsText" text="祝">
      <formula>NOT(ISERROR(SEARCH("祝",K41)))</formula>
    </cfRule>
    <cfRule type="containsText" dxfId="1628" priority="1924" operator="containsText" text="祝">
      <formula>NOT(ISERROR(SEARCH("祝",K41)))</formula>
    </cfRule>
    <cfRule type="containsText" dxfId="1627" priority="1925" operator="containsText" text="祝">
      <formula>NOT(ISERROR(SEARCH("祝",K41)))</formula>
    </cfRule>
    <cfRule type="containsText" dxfId="1626" priority="1926" operator="containsText" text="盆">
      <formula>NOT(ISERROR(SEARCH("盆",K41)))</formula>
    </cfRule>
  </conditionalFormatting>
  <conditionalFormatting sqref="Q41">
    <cfRule type="containsText" dxfId="1625" priority="1911" operator="containsText" text="正">
      <formula>NOT(ISERROR(SEARCH("正",Q41)))</formula>
    </cfRule>
    <cfRule type="containsText" dxfId="1624" priority="1912" operator="containsText" text="Ｇ">
      <formula>NOT(ISERROR(SEARCH("Ｇ",Q41)))</formula>
    </cfRule>
    <cfRule type="containsText" dxfId="1623" priority="1913" operator="containsText" text="祝">
      <formula>NOT(ISERROR(SEARCH("祝",Q41)))</formula>
    </cfRule>
    <cfRule type="containsText" dxfId="1622" priority="1914" operator="containsText" text="祝">
      <formula>NOT(ISERROR(SEARCH("祝",Q41)))</formula>
    </cfRule>
    <cfRule type="containsText" dxfId="1621" priority="1915" operator="containsText" text="祝">
      <formula>NOT(ISERROR(SEARCH("祝",Q41)))</formula>
    </cfRule>
    <cfRule type="containsText" dxfId="1620" priority="1916" operator="containsText" text="祝">
      <formula>NOT(ISERROR(SEARCH("祝",Q41)))</formula>
    </cfRule>
    <cfRule type="containsText" dxfId="1619" priority="1917" operator="containsText" text="祝">
      <formula>NOT(ISERROR(SEARCH("祝",Q41)))</formula>
    </cfRule>
    <cfRule type="containsText" dxfId="1618" priority="1918" operator="containsText" text="盆">
      <formula>NOT(ISERROR(SEARCH("盆",Q41)))</formula>
    </cfRule>
  </conditionalFormatting>
  <conditionalFormatting sqref="R41">
    <cfRule type="containsText" dxfId="1617" priority="1903" operator="containsText" text="正">
      <formula>NOT(ISERROR(SEARCH("正",R41)))</formula>
    </cfRule>
    <cfRule type="containsText" dxfId="1616" priority="1904" operator="containsText" text="Ｇ">
      <formula>NOT(ISERROR(SEARCH("Ｇ",R41)))</formula>
    </cfRule>
    <cfRule type="containsText" dxfId="1615" priority="1905" operator="containsText" text="祝">
      <formula>NOT(ISERROR(SEARCH("祝",R41)))</formula>
    </cfRule>
    <cfRule type="containsText" dxfId="1614" priority="1906" operator="containsText" text="祝">
      <formula>NOT(ISERROR(SEARCH("祝",R41)))</formula>
    </cfRule>
    <cfRule type="containsText" dxfId="1613" priority="1907" operator="containsText" text="祝">
      <formula>NOT(ISERROR(SEARCH("祝",R41)))</formula>
    </cfRule>
    <cfRule type="containsText" dxfId="1612" priority="1908" operator="containsText" text="祝">
      <formula>NOT(ISERROR(SEARCH("祝",R41)))</formula>
    </cfRule>
    <cfRule type="containsText" dxfId="1611" priority="1909" operator="containsText" text="祝">
      <formula>NOT(ISERROR(SEARCH("祝",R41)))</formula>
    </cfRule>
    <cfRule type="containsText" dxfId="1610" priority="1910" operator="containsText" text="盆">
      <formula>NOT(ISERROR(SEARCH("盆",R41)))</formula>
    </cfRule>
  </conditionalFormatting>
  <conditionalFormatting sqref="X41">
    <cfRule type="containsText" dxfId="1609" priority="1895" operator="containsText" text="正">
      <formula>NOT(ISERROR(SEARCH("正",X41)))</formula>
    </cfRule>
    <cfRule type="containsText" dxfId="1608" priority="1896" operator="containsText" text="Ｇ">
      <formula>NOT(ISERROR(SEARCH("Ｇ",X41)))</formula>
    </cfRule>
    <cfRule type="containsText" dxfId="1607" priority="1897" operator="containsText" text="祝">
      <formula>NOT(ISERROR(SEARCH("祝",X41)))</formula>
    </cfRule>
    <cfRule type="containsText" dxfId="1606" priority="1898" operator="containsText" text="祝">
      <formula>NOT(ISERROR(SEARCH("祝",X41)))</formula>
    </cfRule>
    <cfRule type="containsText" dxfId="1605" priority="1899" operator="containsText" text="祝">
      <formula>NOT(ISERROR(SEARCH("祝",X41)))</formula>
    </cfRule>
    <cfRule type="containsText" dxfId="1604" priority="1900" operator="containsText" text="祝">
      <formula>NOT(ISERROR(SEARCH("祝",X41)))</formula>
    </cfRule>
    <cfRule type="containsText" dxfId="1603" priority="1901" operator="containsText" text="祝">
      <formula>NOT(ISERROR(SEARCH("祝",X41)))</formula>
    </cfRule>
    <cfRule type="containsText" dxfId="1602" priority="1902" operator="containsText" text="盆">
      <formula>NOT(ISERROR(SEARCH("盆",X41)))</formula>
    </cfRule>
  </conditionalFormatting>
  <conditionalFormatting sqref="Y41">
    <cfRule type="containsText" dxfId="1601" priority="1887" operator="containsText" text="正">
      <formula>NOT(ISERROR(SEARCH("正",Y41)))</formula>
    </cfRule>
    <cfRule type="containsText" dxfId="1600" priority="1888" operator="containsText" text="Ｇ">
      <formula>NOT(ISERROR(SEARCH("Ｇ",Y41)))</formula>
    </cfRule>
    <cfRule type="containsText" dxfId="1599" priority="1889" operator="containsText" text="祝">
      <formula>NOT(ISERROR(SEARCH("祝",Y41)))</formula>
    </cfRule>
    <cfRule type="containsText" dxfId="1598" priority="1890" operator="containsText" text="祝">
      <formula>NOT(ISERROR(SEARCH("祝",Y41)))</formula>
    </cfRule>
    <cfRule type="containsText" dxfId="1597" priority="1891" operator="containsText" text="祝">
      <formula>NOT(ISERROR(SEARCH("祝",Y41)))</formula>
    </cfRule>
    <cfRule type="containsText" dxfId="1596" priority="1892" operator="containsText" text="祝">
      <formula>NOT(ISERROR(SEARCH("祝",Y41)))</formula>
    </cfRule>
    <cfRule type="containsText" dxfId="1595" priority="1893" operator="containsText" text="祝">
      <formula>NOT(ISERROR(SEARCH("祝",Y41)))</formula>
    </cfRule>
    <cfRule type="containsText" dxfId="1594" priority="1894" operator="containsText" text="盆">
      <formula>NOT(ISERROR(SEARCH("盆",Y41)))</formula>
    </cfRule>
  </conditionalFormatting>
  <conditionalFormatting sqref="H53:I53 L53:P53 S53:W53 Z53:AD53">
    <cfRule type="containsText" dxfId="1593" priority="1759" operator="containsText" text="正">
      <formula>NOT(ISERROR(SEARCH("正",H53)))</formula>
    </cfRule>
    <cfRule type="containsText" dxfId="1592" priority="1760" operator="containsText" text="Ｇ">
      <formula>NOT(ISERROR(SEARCH("Ｇ",H53)))</formula>
    </cfRule>
    <cfRule type="containsText" dxfId="1591" priority="1761" operator="containsText" text="祝">
      <formula>NOT(ISERROR(SEARCH("祝",H53)))</formula>
    </cfRule>
    <cfRule type="containsText" dxfId="1590" priority="1762" operator="containsText" text="祝">
      <formula>NOT(ISERROR(SEARCH("祝",H53)))</formula>
    </cfRule>
    <cfRule type="containsText" dxfId="1589" priority="1763" operator="containsText" text="祝">
      <formula>NOT(ISERROR(SEARCH("祝",H53)))</formula>
    </cfRule>
    <cfRule type="containsText" dxfId="1588" priority="1764" operator="containsText" text="祝">
      <formula>NOT(ISERROR(SEARCH("祝",H53)))</formula>
    </cfRule>
    <cfRule type="containsText" dxfId="1587" priority="1765" operator="containsText" text="祝">
      <formula>NOT(ISERROR(SEARCH("祝",H53)))</formula>
    </cfRule>
    <cfRule type="containsText" dxfId="1586" priority="1766" operator="containsText" text="盆">
      <formula>NOT(ISERROR(SEARCH("盆",H53)))</formula>
    </cfRule>
  </conditionalFormatting>
  <conditionalFormatting sqref="E53">
    <cfRule type="containsText" dxfId="1585" priority="1783" operator="containsText" text="正">
      <formula>NOT(ISERROR(SEARCH("正",E53)))</formula>
    </cfRule>
    <cfRule type="containsText" dxfId="1584" priority="1784" operator="containsText" text="Ｇ">
      <formula>NOT(ISERROR(SEARCH("Ｇ",E53)))</formula>
    </cfRule>
    <cfRule type="containsText" dxfId="1583" priority="1785" operator="containsText" text="祝">
      <formula>NOT(ISERROR(SEARCH("祝",E53)))</formula>
    </cfRule>
    <cfRule type="containsText" dxfId="1582" priority="1786" operator="containsText" text="祝">
      <formula>NOT(ISERROR(SEARCH("祝",E53)))</formula>
    </cfRule>
    <cfRule type="containsText" dxfId="1581" priority="1787" operator="containsText" text="祝">
      <formula>NOT(ISERROR(SEARCH("祝",E53)))</formula>
    </cfRule>
    <cfRule type="containsText" dxfId="1580" priority="1788" operator="containsText" text="祝">
      <formula>NOT(ISERROR(SEARCH("祝",E53)))</formula>
    </cfRule>
    <cfRule type="containsText" dxfId="1579" priority="1789" operator="containsText" text="祝">
      <formula>NOT(ISERROR(SEARCH("祝",E53)))</formula>
    </cfRule>
    <cfRule type="containsText" dxfId="1578" priority="1790" operator="containsText" text="盆">
      <formula>NOT(ISERROR(SEARCH("盆",E53)))</formula>
    </cfRule>
  </conditionalFormatting>
  <conditionalFormatting sqref="F53">
    <cfRule type="containsText" dxfId="1577" priority="1775" operator="containsText" text="正">
      <formula>NOT(ISERROR(SEARCH("正",F53)))</formula>
    </cfRule>
    <cfRule type="containsText" dxfId="1576" priority="1776" operator="containsText" text="Ｇ">
      <formula>NOT(ISERROR(SEARCH("Ｇ",F53)))</formula>
    </cfRule>
    <cfRule type="containsText" dxfId="1575" priority="1777" operator="containsText" text="祝">
      <formula>NOT(ISERROR(SEARCH("祝",F53)))</formula>
    </cfRule>
    <cfRule type="containsText" dxfId="1574" priority="1778" operator="containsText" text="祝">
      <formula>NOT(ISERROR(SEARCH("祝",F53)))</formula>
    </cfRule>
    <cfRule type="containsText" dxfId="1573" priority="1779" operator="containsText" text="祝">
      <formula>NOT(ISERROR(SEARCH("祝",F53)))</formula>
    </cfRule>
    <cfRule type="containsText" dxfId="1572" priority="1780" operator="containsText" text="祝">
      <formula>NOT(ISERROR(SEARCH("祝",F53)))</formula>
    </cfRule>
    <cfRule type="containsText" dxfId="1571" priority="1781" operator="containsText" text="祝">
      <formula>NOT(ISERROR(SEARCH("祝",F53)))</formula>
    </cfRule>
    <cfRule type="containsText" dxfId="1570" priority="1782" operator="containsText" text="盆">
      <formula>NOT(ISERROR(SEARCH("盆",F53)))</formula>
    </cfRule>
  </conditionalFormatting>
  <conditionalFormatting sqref="G53">
    <cfRule type="containsText" dxfId="1569" priority="1767" operator="containsText" text="正">
      <formula>NOT(ISERROR(SEARCH("正",G53)))</formula>
    </cfRule>
    <cfRule type="containsText" dxfId="1568" priority="1768" operator="containsText" text="Ｇ">
      <formula>NOT(ISERROR(SEARCH("Ｇ",G53)))</formula>
    </cfRule>
    <cfRule type="containsText" dxfId="1567" priority="1769" operator="containsText" text="祝">
      <formula>NOT(ISERROR(SEARCH("祝",G53)))</formula>
    </cfRule>
    <cfRule type="containsText" dxfId="1566" priority="1770" operator="containsText" text="祝">
      <formula>NOT(ISERROR(SEARCH("祝",G53)))</formula>
    </cfRule>
    <cfRule type="containsText" dxfId="1565" priority="1771" operator="containsText" text="祝">
      <formula>NOT(ISERROR(SEARCH("祝",G53)))</formula>
    </cfRule>
    <cfRule type="containsText" dxfId="1564" priority="1772" operator="containsText" text="祝">
      <formula>NOT(ISERROR(SEARCH("祝",G53)))</formula>
    </cfRule>
    <cfRule type="containsText" dxfId="1563" priority="1773" operator="containsText" text="祝">
      <formula>NOT(ISERROR(SEARCH("祝",G53)))</formula>
    </cfRule>
    <cfRule type="containsText" dxfId="1562" priority="1774" operator="containsText" text="盆">
      <formula>NOT(ISERROR(SEARCH("盆",G53)))</formula>
    </cfRule>
  </conditionalFormatting>
  <conditionalFormatting sqref="C53">
    <cfRule type="containsText" dxfId="1561" priority="1751" operator="containsText" text="正">
      <formula>NOT(ISERROR(SEARCH("正",C53)))</formula>
    </cfRule>
    <cfRule type="containsText" dxfId="1560" priority="1752" operator="containsText" text="Ｇ">
      <formula>NOT(ISERROR(SEARCH("Ｇ",C53)))</formula>
    </cfRule>
    <cfRule type="containsText" dxfId="1559" priority="1753" operator="containsText" text="祝">
      <formula>NOT(ISERROR(SEARCH("祝",C53)))</formula>
    </cfRule>
    <cfRule type="containsText" dxfId="1558" priority="1754" operator="containsText" text="祝">
      <formula>NOT(ISERROR(SEARCH("祝",C53)))</formula>
    </cfRule>
    <cfRule type="containsText" dxfId="1557" priority="1755" operator="containsText" text="祝">
      <formula>NOT(ISERROR(SEARCH("祝",C53)))</formula>
    </cfRule>
    <cfRule type="containsText" dxfId="1556" priority="1756" operator="containsText" text="祝">
      <formula>NOT(ISERROR(SEARCH("祝",C53)))</formula>
    </cfRule>
    <cfRule type="containsText" dxfId="1555" priority="1757" operator="containsText" text="祝">
      <formula>NOT(ISERROR(SEARCH("祝",C53)))</formula>
    </cfRule>
    <cfRule type="containsText" dxfId="1554" priority="1758" operator="containsText" text="盆">
      <formula>NOT(ISERROR(SEARCH("盆",C53)))</formula>
    </cfRule>
  </conditionalFormatting>
  <conditionalFormatting sqref="D53">
    <cfRule type="containsText" dxfId="1553" priority="1743" operator="containsText" text="正">
      <formula>NOT(ISERROR(SEARCH("正",D53)))</formula>
    </cfRule>
    <cfRule type="containsText" dxfId="1552" priority="1744" operator="containsText" text="Ｇ">
      <formula>NOT(ISERROR(SEARCH("Ｇ",D53)))</formula>
    </cfRule>
    <cfRule type="containsText" dxfId="1551" priority="1745" operator="containsText" text="祝">
      <formula>NOT(ISERROR(SEARCH("祝",D53)))</formula>
    </cfRule>
    <cfRule type="containsText" dxfId="1550" priority="1746" operator="containsText" text="祝">
      <formula>NOT(ISERROR(SEARCH("祝",D53)))</formula>
    </cfRule>
    <cfRule type="containsText" dxfId="1549" priority="1747" operator="containsText" text="祝">
      <formula>NOT(ISERROR(SEARCH("祝",D53)))</formula>
    </cfRule>
    <cfRule type="containsText" dxfId="1548" priority="1748" operator="containsText" text="祝">
      <formula>NOT(ISERROR(SEARCH("祝",D53)))</formula>
    </cfRule>
    <cfRule type="containsText" dxfId="1547" priority="1749" operator="containsText" text="祝">
      <formula>NOT(ISERROR(SEARCH("祝",D53)))</formula>
    </cfRule>
    <cfRule type="containsText" dxfId="1546" priority="1750" operator="containsText" text="盆">
      <formula>NOT(ISERROR(SEARCH("盆",D53)))</formula>
    </cfRule>
  </conditionalFormatting>
  <conditionalFormatting sqref="J53">
    <cfRule type="containsText" dxfId="1545" priority="1735" operator="containsText" text="正">
      <formula>NOT(ISERROR(SEARCH("正",J53)))</formula>
    </cfRule>
    <cfRule type="containsText" dxfId="1544" priority="1736" operator="containsText" text="Ｇ">
      <formula>NOT(ISERROR(SEARCH("Ｇ",J53)))</formula>
    </cfRule>
    <cfRule type="containsText" dxfId="1543" priority="1737" operator="containsText" text="祝">
      <formula>NOT(ISERROR(SEARCH("祝",J53)))</formula>
    </cfRule>
    <cfRule type="containsText" dxfId="1542" priority="1738" operator="containsText" text="祝">
      <formula>NOT(ISERROR(SEARCH("祝",J53)))</formula>
    </cfRule>
    <cfRule type="containsText" dxfId="1541" priority="1739" operator="containsText" text="祝">
      <formula>NOT(ISERROR(SEARCH("祝",J53)))</formula>
    </cfRule>
    <cfRule type="containsText" dxfId="1540" priority="1740" operator="containsText" text="祝">
      <formula>NOT(ISERROR(SEARCH("祝",J53)))</formula>
    </cfRule>
    <cfRule type="containsText" dxfId="1539" priority="1741" operator="containsText" text="祝">
      <formula>NOT(ISERROR(SEARCH("祝",J53)))</formula>
    </cfRule>
    <cfRule type="containsText" dxfId="1538" priority="1742" operator="containsText" text="盆">
      <formula>NOT(ISERROR(SEARCH("盆",J53)))</formula>
    </cfRule>
  </conditionalFormatting>
  <conditionalFormatting sqref="K53">
    <cfRule type="containsText" dxfId="1537" priority="1727" operator="containsText" text="正">
      <formula>NOT(ISERROR(SEARCH("正",K53)))</formula>
    </cfRule>
    <cfRule type="containsText" dxfId="1536" priority="1728" operator="containsText" text="Ｇ">
      <formula>NOT(ISERROR(SEARCH("Ｇ",K53)))</formula>
    </cfRule>
    <cfRule type="containsText" dxfId="1535" priority="1729" operator="containsText" text="祝">
      <formula>NOT(ISERROR(SEARCH("祝",K53)))</formula>
    </cfRule>
    <cfRule type="containsText" dxfId="1534" priority="1730" operator="containsText" text="祝">
      <formula>NOT(ISERROR(SEARCH("祝",K53)))</formula>
    </cfRule>
    <cfRule type="containsText" dxfId="1533" priority="1731" operator="containsText" text="祝">
      <formula>NOT(ISERROR(SEARCH("祝",K53)))</formula>
    </cfRule>
    <cfRule type="containsText" dxfId="1532" priority="1732" operator="containsText" text="祝">
      <formula>NOT(ISERROR(SEARCH("祝",K53)))</formula>
    </cfRule>
    <cfRule type="containsText" dxfId="1531" priority="1733" operator="containsText" text="祝">
      <formula>NOT(ISERROR(SEARCH("祝",K53)))</formula>
    </cfRule>
    <cfRule type="containsText" dxfId="1530" priority="1734" operator="containsText" text="盆">
      <formula>NOT(ISERROR(SEARCH("盆",K53)))</formula>
    </cfRule>
  </conditionalFormatting>
  <conditionalFormatting sqref="Q53">
    <cfRule type="containsText" dxfId="1529" priority="1719" operator="containsText" text="正">
      <formula>NOT(ISERROR(SEARCH("正",Q53)))</formula>
    </cfRule>
    <cfRule type="containsText" dxfId="1528" priority="1720" operator="containsText" text="Ｇ">
      <formula>NOT(ISERROR(SEARCH("Ｇ",Q53)))</formula>
    </cfRule>
    <cfRule type="containsText" dxfId="1527" priority="1721" operator="containsText" text="祝">
      <formula>NOT(ISERROR(SEARCH("祝",Q53)))</formula>
    </cfRule>
    <cfRule type="containsText" dxfId="1526" priority="1722" operator="containsText" text="祝">
      <formula>NOT(ISERROR(SEARCH("祝",Q53)))</formula>
    </cfRule>
    <cfRule type="containsText" dxfId="1525" priority="1723" operator="containsText" text="祝">
      <formula>NOT(ISERROR(SEARCH("祝",Q53)))</formula>
    </cfRule>
    <cfRule type="containsText" dxfId="1524" priority="1724" operator="containsText" text="祝">
      <formula>NOT(ISERROR(SEARCH("祝",Q53)))</formula>
    </cfRule>
    <cfRule type="containsText" dxfId="1523" priority="1725" operator="containsText" text="祝">
      <formula>NOT(ISERROR(SEARCH("祝",Q53)))</formula>
    </cfRule>
    <cfRule type="containsText" dxfId="1522" priority="1726" operator="containsText" text="盆">
      <formula>NOT(ISERROR(SEARCH("盆",Q53)))</formula>
    </cfRule>
  </conditionalFormatting>
  <conditionalFormatting sqref="R53">
    <cfRule type="containsText" dxfId="1521" priority="1711" operator="containsText" text="正">
      <formula>NOT(ISERROR(SEARCH("正",R53)))</formula>
    </cfRule>
    <cfRule type="containsText" dxfId="1520" priority="1712" operator="containsText" text="Ｇ">
      <formula>NOT(ISERROR(SEARCH("Ｇ",R53)))</formula>
    </cfRule>
    <cfRule type="containsText" dxfId="1519" priority="1713" operator="containsText" text="祝">
      <formula>NOT(ISERROR(SEARCH("祝",R53)))</formula>
    </cfRule>
    <cfRule type="containsText" dxfId="1518" priority="1714" operator="containsText" text="祝">
      <formula>NOT(ISERROR(SEARCH("祝",R53)))</formula>
    </cfRule>
    <cfRule type="containsText" dxfId="1517" priority="1715" operator="containsText" text="祝">
      <formula>NOT(ISERROR(SEARCH("祝",R53)))</formula>
    </cfRule>
    <cfRule type="containsText" dxfId="1516" priority="1716" operator="containsText" text="祝">
      <formula>NOT(ISERROR(SEARCH("祝",R53)))</formula>
    </cfRule>
    <cfRule type="containsText" dxfId="1515" priority="1717" operator="containsText" text="祝">
      <formula>NOT(ISERROR(SEARCH("祝",R53)))</formula>
    </cfRule>
    <cfRule type="containsText" dxfId="1514" priority="1718" operator="containsText" text="盆">
      <formula>NOT(ISERROR(SEARCH("盆",R53)))</formula>
    </cfRule>
  </conditionalFormatting>
  <conditionalFormatting sqref="X53">
    <cfRule type="containsText" dxfId="1513" priority="1703" operator="containsText" text="正">
      <formula>NOT(ISERROR(SEARCH("正",X53)))</formula>
    </cfRule>
    <cfRule type="containsText" dxfId="1512" priority="1704" operator="containsText" text="Ｇ">
      <formula>NOT(ISERROR(SEARCH("Ｇ",X53)))</formula>
    </cfRule>
    <cfRule type="containsText" dxfId="1511" priority="1705" operator="containsText" text="祝">
      <formula>NOT(ISERROR(SEARCH("祝",X53)))</formula>
    </cfRule>
    <cfRule type="containsText" dxfId="1510" priority="1706" operator="containsText" text="祝">
      <formula>NOT(ISERROR(SEARCH("祝",X53)))</formula>
    </cfRule>
    <cfRule type="containsText" dxfId="1509" priority="1707" operator="containsText" text="祝">
      <formula>NOT(ISERROR(SEARCH("祝",X53)))</formula>
    </cfRule>
    <cfRule type="containsText" dxfId="1508" priority="1708" operator="containsText" text="祝">
      <formula>NOT(ISERROR(SEARCH("祝",X53)))</formula>
    </cfRule>
    <cfRule type="containsText" dxfId="1507" priority="1709" operator="containsText" text="祝">
      <formula>NOT(ISERROR(SEARCH("祝",X53)))</formula>
    </cfRule>
    <cfRule type="containsText" dxfId="1506" priority="1710" operator="containsText" text="盆">
      <formula>NOT(ISERROR(SEARCH("盆",X53)))</formula>
    </cfRule>
  </conditionalFormatting>
  <conditionalFormatting sqref="Y53">
    <cfRule type="containsText" dxfId="1505" priority="1695" operator="containsText" text="正">
      <formula>NOT(ISERROR(SEARCH("正",Y53)))</formula>
    </cfRule>
    <cfRule type="containsText" dxfId="1504" priority="1696" operator="containsText" text="Ｇ">
      <formula>NOT(ISERROR(SEARCH("Ｇ",Y53)))</formula>
    </cfRule>
    <cfRule type="containsText" dxfId="1503" priority="1697" operator="containsText" text="祝">
      <formula>NOT(ISERROR(SEARCH("祝",Y53)))</formula>
    </cfRule>
    <cfRule type="containsText" dxfId="1502" priority="1698" operator="containsText" text="祝">
      <formula>NOT(ISERROR(SEARCH("祝",Y53)))</formula>
    </cfRule>
    <cfRule type="containsText" dxfId="1501" priority="1699" operator="containsText" text="祝">
      <formula>NOT(ISERROR(SEARCH("祝",Y53)))</formula>
    </cfRule>
    <cfRule type="containsText" dxfId="1500" priority="1700" operator="containsText" text="祝">
      <formula>NOT(ISERROR(SEARCH("祝",Y53)))</formula>
    </cfRule>
    <cfRule type="containsText" dxfId="1499" priority="1701" operator="containsText" text="祝">
      <formula>NOT(ISERROR(SEARCH("祝",Y53)))</formula>
    </cfRule>
    <cfRule type="containsText" dxfId="1498" priority="1702" operator="containsText" text="盆">
      <formula>NOT(ISERROR(SEARCH("盆",Y53)))</formula>
    </cfRule>
  </conditionalFormatting>
  <conditionalFormatting sqref="H65:I65 L65:P65 S65:W65 Z65:AD65">
    <cfRule type="containsText" dxfId="1497" priority="1567" operator="containsText" text="正">
      <formula>NOT(ISERROR(SEARCH("正",H65)))</formula>
    </cfRule>
    <cfRule type="containsText" dxfId="1496" priority="1568" operator="containsText" text="Ｇ">
      <formula>NOT(ISERROR(SEARCH("Ｇ",H65)))</formula>
    </cfRule>
    <cfRule type="containsText" dxfId="1495" priority="1569" operator="containsText" text="祝">
      <formula>NOT(ISERROR(SEARCH("祝",H65)))</formula>
    </cfRule>
    <cfRule type="containsText" dxfId="1494" priority="1570" operator="containsText" text="祝">
      <formula>NOT(ISERROR(SEARCH("祝",H65)))</formula>
    </cfRule>
    <cfRule type="containsText" dxfId="1493" priority="1571" operator="containsText" text="祝">
      <formula>NOT(ISERROR(SEARCH("祝",H65)))</formula>
    </cfRule>
    <cfRule type="containsText" dxfId="1492" priority="1572" operator="containsText" text="祝">
      <formula>NOT(ISERROR(SEARCH("祝",H65)))</formula>
    </cfRule>
    <cfRule type="containsText" dxfId="1491" priority="1573" operator="containsText" text="祝">
      <formula>NOT(ISERROR(SEARCH("祝",H65)))</formula>
    </cfRule>
    <cfRule type="containsText" dxfId="1490" priority="1574" operator="containsText" text="盆">
      <formula>NOT(ISERROR(SEARCH("盆",H65)))</formula>
    </cfRule>
  </conditionalFormatting>
  <conditionalFormatting sqref="E65">
    <cfRule type="containsText" dxfId="1489" priority="1591" operator="containsText" text="正">
      <formula>NOT(ISERROR(SEARCH("正",E65)))</formula>
    </cfRule>
    <cfRule type="containsText" dxfId="1488" priority="1592" operator="containsText" text="Ｇ">
      <formula>NOT(ISERROR(SEARCH("Ｇ",E65)))</formula>
    </cfRule>
    <cfRule type="containsText" dxfId="1487" priority="1593" operator="containsText" text="祝">
      <formula>NOT(ISERROR(SEARCH("祝",E65)))</formula>
    </cfRule>
    <cfRule type="containsText" dxfId="1486" priority="1594" operator="containsText" text="祝">
      <formula>NOT(ISERROR(SEARCH("祝",E65)))</formula>
    </cfRule>
    <cfRule type="containsText" dxfId="1485" priority="1595" operator="containsText" text="祝">
      <formula>NOT(ISERROR(SEARCH("祝",E65)))</formula>
    </cfRule>
    <cfRule type="containsText" dxfId="1484" priority="1596" operator="containsText" text="祝">
      <formula>NOT(ISERROR(SEARCH("祝",E65)))</formula>
    </cfRule>
    <cfRule type="containsText" dxfId="1483" priority="1597" operator="containsText" text="祝">
      <formula>NOT(ISERROR(SEARCH("祝",E65)))</formula>
    </cfRule>
    <cfRule type="containsText" dxfId="1482" priority="1598" operator="containsText" text="盆">
      <formula>NOT(ISERROR(SEARCH("盆",E65)))</formula>
    </cfRule>
  </conditionalFormatting>
  <conditionalFormatting sqref="F65">
    <cfRule type="containsText" dxfId="1481" priority="1583" operator="containsText" text="正">
      <formula>NOT(ISERROR(SEARCH("正",F65)))</formula>
    </cfRule>
    <cfRule type="containsText" dxfId="1480" priority="1584" operator="containsText" text="Ｇ">
      <formula>NOT(ISERROR(SEARCH("Ｇ",F65)))</formula>
    </cfRule>
    <cfRule type="containsText" dxfId="1479" priority="1585" operator="containsText" text="祝">
      <formula>NOT(ISERROR(SEARCH("祝",F65)))</formula>
    </cfRule>
    <cfRule type="containsText" dxfId="1478" priority="1586" operator="containsText" text="祝">
      <formula>NOT(ISERROR(SEARCH("祝",F65)))</formula>
    </cfRule>
    <cfRule type="containsText" dxfId="1477" priority="1587" operator="containsText" text="祝">
      <formula>NOT(ISERROR(SEARCH("祝",F65)))</formula>
    </cfRule>
    <cfRule type="containsText" dxfId="1476" priority="1588" operator="containsText" text="祝">
      <formula>NOT(ISERROR(SEARCH("祝",F65)))</formula>
    </cfRule>
    <cfRule type="containsText" dxfId="1475" priority="1589" operator="containsText" text="祝">
      <formula>NOT(ISERROR(SEARCH("祝",F65)))</formula>
    </cfRule>
    <cfRule type="containsText" dxfId="1474" priority="1590" operator="containsText" text="盆">
      <formula>NOT(ISERROR(SEARCH("盆",F65)))</formula>
    </cfRule>
  </conditionalFormatting>
  <conditionalFormatting sqref="G65">
    <cfRule type="containsText" dxfId="1473" priority="1575" operator="containsText" text="正">
      <formula>NOT(ISERROR(SEARCH("正",G65)))</formula>
    </cfRule>
    <cfRule type="containsText" dxfId="1472" priority="1576" operator="containsText" text="Ｇ">
      <formula>NOT(ISERROR(SEARCH("Ｇ",G65)))</formula>
    </cfRule>
    <cfRule type="containsText" dxfId="1471" priority="1577" operator="containsText" text="祝">
      <formula>NOT(ISERROR(SEARCH("祝",G65)))</formula>
    </cfRule>
    <cfRule type="containsText" dxfId="1470" priority="1578" operator="containsText" text="祝">
      <formula>NOT(ISERROR(SEARCH("祝",G65)))</formula>
    </cfRule>
    <cfRule type="containsText" dxfId="1469" priority="1579" operator="containsText" text="祝">
      <formula>NOT(ISERROR(SEARCH("祝",G65)))</formula>
    </cfRule>
    <cfRule type="containsText" dxfId="1468" priority="1580" operator="containsText" text="祝">
      <formula>NOT(ISERROR(SEARCH("祝",G65)))</formula>
    </cfRule>
    <cfRule type="containsText" dxfId="1467" priority="1581" operator="containsText" text="祝">
      <formula>NOT(ISERROR(SEARCH("祝",G65)))</formula>
    </cfRule>
    <cfRule type="containsText" dxfId="1466" priority="1582" operator="containsText" text="盆">
      <formula>NOT(ISERROR(SEARCH("盆",G65)))</formula>
    </cfRule>
  </conditionalFormatting>
  <conditionalFormatting sqref="C65">
    <cfRule type="containsText" dxfId="1465" priority="1559" operator="containsText" text="正">
      <formula>NOT(ISERROR(SEARCH("正",C65)))</formula>
    </cfRule>
    <cfRule type="containsText" dxfId="1464" priority="1560" operator="containsText" text="Ｇ">
      <formula>NOT(ISERROR(SEARCH("Ｇ",C65)))</formula>
    </cfRule>
    <cfRule type="containsText" dxfId="1463" priority="1561" operator="containsText" text="祝">
      <formula>NOT(ISERROR(SEARCH("祝",C65)))</formula>
    </cfRule>
    <cfRule type="containsText" dxfId="1462" priority="1562" operator="containsText" text="祝">
      <formula>NOT(ISERROR(SEARCH("祝",C65)))</formula>
    </cfRule>
    <cfRule type="containsText" dxfId="1461" priority="1563" operator="containsText" text="祝">
      <formula>NOT(ISERROR(SEARCH("祝",C65)))</formula>
    </cfRule>
    <cfRule type="containsText" dxfId="1460" priority="1564" operator="containsText" text="祝">
      <formula>NOT(ISERROR(SEARCH("祝",C65)))</formula>
    </cfRule>
    <cfRule type="containsText" dxfId="1459" priority="1565" operator="containsText" text="祝">
      <formula>NOT(ISERROR(SEARCH("祝",C65)))</formula>
    </cfRule>
    <cfRule type="containsText" dxfId="1458" priority="1566" operator="containsText" text="盆">
      <formula>NOT(ISERROR(SEARCH("盆",C65)))</formula>
    </cfRule>
  </conditionalFormatting>
  <conditionalFormatting sqref="D65">
    <cfRule type="containsText" dxfId="1457" priority="1551" operator="containsText" text="正">
      <formula>NOT(ISERROR(SEARCH("正",D65)))</formula>
    </cfRule>
    <cfRule type="containsText" dxfId="1456" priority="1552" operator="containsText" text="Ｇ">
      <formula>NOT(ISERROR(SEARCH("Ｇ",D65)))</formula>
    </cfRule>
    <cfRule type="containsText" dxfId="1455" priority="1553" operator="containsText" text="祝">
      <formula>NOT(ISERROR(SEARCH("祝",D65)))</formula>
    </cfRule>
    <cfRule type="containsText" dxfId="1454" priority="1554" operator="containsText" text="祝">
      <formula>NOT(ISERROR(SEARCH("祝",D65)))</formula>
    </cfRule>
    <cfRule type="containsText" dxfId="1453" priority="1555" operator="containsText" text="祝">
      <formula>NOT(ISERROR(SEARCH("祝",D65)))</formula>
    </cfRule>
    <cfRule type="containsText" dxfId="1452" priority="1556" operator="containsText" text="祝">
      <formula>NOT(ISERROR(SEARCH("祝",D65)))</formula>
    </cfRule>
    <cfRule type="containsText" dxfId="1451" priority="1557" operator="containsText" text="祝">
      <formula>NOT(ISERROR(SEARCH("祝",D65)))</formula>
    </cfRule>
    <cfRule type="containsText" dxfId="1450" priority="1558" operator="containsText" text="盆">
      <formula>NOT(ISERROR(SEARCH("盆",D65)))</formula>
    </cfRule>
  </conditionalFormatting>
  <conditionalFormatting sqref="J65">
    <cfRule type="containsText" dxfId="1449" priority="1543" operator="containsText" text="正">
      <formula>NOT(ISERROR(SEARCH("正",J65)))</formula>
    </cfRule>
    <cfRule type="containsText" dxfId="1448" priority="1544" operator="containsText" text="Ｇ">
      <formula>NOT(ISERROR(SEARCH("Ｇ",J65)))</formula>
    </cfRule>
    <cfRule type="containsText" dxfId="1447" priority="1545" operator="containsText" text="祝">
      <formula>NOT(ISERROR(SEARCH("祝",J65)))</formula>
    </cfRule>
    <cfRule type="containsText" dxfId="1446" priority="1546" operator="containsText" text="祝">
      <formula>NOT(ISERROR(SEARCH("祝",J65)))</formula>
    </cfRule>
    <cfRule type="containsText" dxfId="1445" priority="1547" operator="containsText" text="祝">
      <formula>NOT(ISERROR(SEARCH("祝",J65)))</formula>
    </cfRule>
    <cfRule type="containsText" dxfId="1444" priority="1548" operator="containsText" text="祝">
      <formula>NOT(ISERROR(SEARCH("祝",J65)))</formula>
    </cfRule>
    <cfRule type="containsText" dxfId="1443" priority="1549" operator="containsText" text="祝">
      <formula>NOT(ISERROR(SEARCH("祝",J65)))</formula>
    </cfRule>
    <cfRule type="containsText" dxfId="1442" priority="1550" operator="containsText" text="盆">
      <formula>NOT(ISERROR(SEARCH("盆",J65)))</formula>
    </cfRule>
  </conditionalFormatting>
  <conditionalFormatting sqref="K65">
    <cfRule type="containsText" dxfId="1441" priority="1535" operator="containsText" text="正">
      <formula>NOT(ISERROR(SEARCH("正",K65)))</formula>
    </cfRule>
    <cfRule type="containsText" dxfId="1440" priority="1536" operator="containsText" text="Ｇ">
      <formula>NOT(ISERROR(SEARCH("Ｇ",K65)))</formula>
    </cfRule>
    <cfRule type="containsText" dxfId="1439" priority="1537" operator="containsText" text="祝">
      <formula>NOT(ISERROR(SEARCH("祝",K65)))</formula>
    </cfRule>
    <cfRule type="containsText" dxfId="1438" priority="1538" operator="containsText" text="祝">
      <formula>NOT(ISERROR(SEARCH("祝",K65)))</formula>
    </cfRule>
    <cfRule type="containsText" dxfId="1437" priority="1539" operator="containsText" text="祝">
      <formula>NOT(ISERROR(SEARCH("祝",K65)))</formula>
    </cfRule>
    <cfRule type="containsText" dxfId="1436" priority="1540" operator="containsText" text="祝">
      <formula>NOT(ISERROR(SEARCH("祝",K65)))</formula>
    </cfRule>
    <cfRule type="containsText" dxfId="1435" priority="1541" operator="containsText" text="祝">
      <formula>NOT(ISERROR(SEARCH("祝",K65)))</formula>
    </cfRule>
    <cfRule type="containsText" dxfId="1434" priority="1542" operator="containsText" text="盆">
      <formula>NOT(ISERROR(SEARCH("盆",K65)))</formula>
    </cfRule>
  </conditionalFormatting>
  <conditionalFormatting sqref="Q65">
    <cfRule type="containsText" dxfId="1433" priority="1527" operator="containsText" text="正">
      <formula>NOT(ISERROR(SEARCH("正",Q65)))</formula>
    </cfRule>
    <cfRule type="containsText" dxfId="1432" priority="1528" operator="containsText" text="Ｇ">
      <formula>NOT(ISERROR(SEARCH("Ｇ",Q65)))</formula>
    </cfRule>
    <cfRule type="containsText" dxfId="1431" priority="1529" operator="containsText" text="祝">
      <formula>NOT(ISERROR(SEARCH("祝",Q65)))</formula>
    </cfRule>
    <cfRule type="containsText" dxfId="1430" priority="1530" operator="containsText" text="祝">
      <formula>NOT(ISERROR(SEARCH("祝",Q65)))</formula>
    </cfRule>
    <cfRule type="containsText" dxfId="1429" priority="1531" operator="containsText" text="祝">
      <formula>NOT(ISERROR(SEARCH("祝",Q65)))</formula>
    </cfRule>
    <cfRule type="containsText" dxfId="1428" priority="1532" operator="containsText" text="祝">
      <formula>NOT(ISERROR(SEARCH("祝",Q65)))</formula>
    </cfRule>
    <cfRule type="containsText" dxfId="1427" priority="1533" operator="containsText" text="祝">
      <formula>NOT(ISERROR(SEARCH("祝",Q65)))</formula>
    </cfRule>
    <cfRule type="containsText" dxfId="1426" priority="1534" operator="containsText" text="盆">
      <formula>NOT(ISERROR(SEARCH("盆",Q65)))</formula>
    </cfRule>
  </conditionalFormatting>
  <conditionalFormatting sqref="R65">
    <cfRule type="containsText" dxfId="1425" priority="1519" operator="containsText" text="正">
      <formula>NOT(ISERROR(SEARCH("正",R65)))</formula>
    </cfRule>
    <cfRule type="containsText" dxfId="1424" priority="1520" operator="containsText" text="Ｇ">
      <formula>NOT(ISERROR(SEARCH("Ｇ",R65)))</formula>
    </cfRule>
    <cfRule type="containsText" dxfId="1423" priority="1521" operator="containsText" text="祝">
      <formula>NOT(ISERROR(SEARCH("祝",R65)))</formula>
    </cfRule>
    <cfRule type="containsText" dxfId="1422" priority="1522" operator="containsText" text="祝">
      <formula>NOT(ISERROR(SEARCH("祝",R65)))</formula>
    </cfRule>
    <cfRule type="containsText" dxfId="1421" priority="1523" operator="containsText" text="祝">
      <formula>NOT(ISERROR(SEARCH("祝",R65)))</formula>
    </cfRule>
    <cfRule type="containsText" dxfId="1420" priority="1524" operator="containsText" text="祝">
      <formula>NOT(ISERROR(SEARCH("祝",R65)))</formula>
    </cfRule>
    <cfRule type="containsText" dxfId="1419" priority="1525" operator="containsText" text="祝">
      <formula>NOT(ISERROR(SEARCH("祝",R65)))</formula>
    </cfRule>
    <cfRule type="containsText" dxfId="1418" priority="1526" operator="containsText" text="盆">
      <formula>NOT(ISERROR(SEARCH("盆",R65)))</formula>
    </cfRule>
  </conditionalFormatting>
  <conditionalFormatting sqref="X65">
    <cfRule type="containsText" dxfId="1417" priority="1511" operator="containsText" text="正">
      <formula>NOT(ISERROR(SEARCH("正",X65)))</formula>
    </cfRule>
    <cfRule type="containsText" dxfId="1416" priority="1512" operator="containsText" text="Ｇ">
      <formula>NOT(ISERROR(SEARCH("Ｇ",X65)))</formula>
    </cfRule>
    <cfRule type="containsText" dxfId="1415" priority="1513" operator="containsText" text="祝">
      <formula>NOT(ISERROR(SEARCH("祝",X65)))</formula>
    </cfRule>
    <cfRule type="containsText" dxfId="1414" priority="1514" operator="containsText" text="祝">
      <formula>NOT(ISERROR(SEARCH("祝",X65)))</formula>
    </cfRule>
    <cfRule type="containsText" dxfId="1413" priority="1515" operator="containsText" text="祝">
      <formula>NOT(ISERROR(SEARCH("祝",X65)))</formula>
    </cfRule>
    <cfRule type="containsText" dxfId="1412" priority="1516" operator="containsText" text="祝">
      <formula>NOT(ISERROR(SEARCH("祝",X65)))</formula>
    </cfRule>
    <cfRule type="containsText" dxfId="1411" priority="1517" operator="containsText" text="祝">
      <formula>NOT(ISERROR(SEARCH("祝",X65)))</formula>
    </cfRule>
    <cfRule type="containsText" dxfId="1410" priority="1518" operator="containsText" text="盆">
      <formula>NOT(ISERROR(SEARCH("盆",X65)))</formula>
    </cfRule>
  </conditionalFormatting>
  <conditionalFormatting sqref="Y65">
    <cfRule type="containsText" dxfId="1409" priority="1503" operator="containsText" text="正">
      <formula>NOT(ISERROR(SEARCH("正",Y65)))</formula>
    </cfRule>
    <cfRule type="containsText" dxfId="1408" priority="1504" operator="containsText" text="Ｇ">
      <formula>NOT(ISERROR(SEARCH("Ｇ",Y65)))</formula>
    </cfRule>
    <cfRule type="containsText" dxfId="1407" priority="1505" operator="containsText" text="祝">
      <formula>NOT(ISERROR(SEARCH("祝",Y65)))</formula>
    </cfRule>
    <cfRule type="containsText" dxfId="1406" priority="1506" operator="containsText" text="祝">
      <formula>NOT(ISERROR(SEARCH("祝",Y65)))</formula>
    </cfRule>
    <cfRule type="containsText" dxfId="1405" priority="1507" operator="containsText" text="祝">
      <formula>NOT(ISERROR(SEARCH("祝",Y65)))</formula>
    </cfRule>
    <cfRule type="containsText" dxfId="1404" priority="1508" operator="containsText" text="祝">
      <formula>NOT(ISERROR(SEARCH("祝",Y65)))</formula>
    </cfRule>
    <cfRule type="containsText" dxfId="1403" priority="1509" operator="containsText" text="祝">
      <formula>NOT(ISERROR(SEARCH("祝",Y65)))</formula>
    </cfRule>
    <cfRule type="containsText" dxfId="1402" priority="1510" operator="containsText" text="盆">
      <formula>NOT(ISERROR(SEARCH("盆",Y65)))</formula>
    </cfRule>
  </conditionalFormatting>
  <conditionalFormatting sqref="H71:I71 L71:P71 S71:W71 Z71:AD71">
    <cfRule type="containsText" dxfId="1401" priority="1471" operator="containsText" text="正">
      <formula>NOT(ISERROR(SEARCH("正",H71)))</formula>
    </cfRule>
    <cfRule type="containsText" dxfId="1400" priority="1472" operator="containsText" text="Ｇ">
      <formula>NOT(ISERROR(SEARCH("Ｇ",H71)))</formula>
    </cfRule>
    <cfRule type="containsText" dxfId="1399" priority="1473" operator="containsText" text="祝">
      <formula>NOT(ISERROR(SEARCH("祝",H71)))</formula>
    </cfRule>
    <cfRule type="containsText" dxfId="1398" priority="1474" operator="containsText" text="祝">
      <formula>NOT(ISERROR(SEARCH("祝",H71)))</formula>
    </cfRule>
    <cfRule type="containsText" dxfId="1397" priority="1475" operator="containsText" text="祝">
      <formula>NOT(ISERROR(SEARCH("祝",H71)))</formula>
    </cfRule>
    <cfRule type="containsText" dxfId="1396" priority="1476" operator="containsText" text="祝">
      <formula>NOT(ISERROR(SEARCH("祝",H71)))</formula>
    </cfRule>
    <cfRule type="containsText" dxfId="1395" priority="1477" operator="containsText" text="祝">
      <formula>NOT(ISERROR(SEARCH("祝",H71)))</formula>
    </cfRule>
    <cfRule type="containsText" dxfId="1394" priority="1478" operator="containsText" text="盆">
      <formula>NOT(ISERROR(SEARCH("盆",H71)))</formula>
    </cfRule>
  </conditionalFormatting>
  <conditionalFormatting sqref="E71">
    <cfRule type="containsText" dxfId="1393" priority="1495" operator="containsText" text="正">
      <formula>NOT(ISERROR(SEARCH("正",E71)))</formula>
    </cfRule>
    <cfRule type="containsText" dxfId="1392" priority="1496" operator="containsText" text="Ｇ">
      <formula>NOT(ISERROR(SEARCH("Ｇ",E71)))</formula>
    </cfRule>
    <cfRule type="containsText" dxfId="1391" priority="1497" operator="containsText" text="祝">
      <formula>NOT(ISERROR(SEARCH("祝",E71)))</formula>
    </cfRule>
    <cfRule type="containsText" dxfId="1390" priority="1498" operator="containsText" text="祝">
      <formula>NOT(ISERROR(SEARCH("祝",E71)))</formula>
    </cfRule>
    <cfRule type="containsText" dxfId="1389" priority="1499" operator="containsText" text="祝">
      <formula>NOT(ISERROR(SEARCH("祝",E71)))</formula>
    </cfRule>
    <cfRule type="containsText" dxfId="1388" priority="1500" operator="containsText" text="祝">
      <formula>NOT(ISERROR(SEARCH("祝",E71)))</formula>
    </cfRule>
    <cfRule type="containsText" dxfId="1387" priority="1501" operator="containsText" text="祝">
      <formula>NOT(ISERROR(SEARCH("祝",E71)))</formula>
    </cfRule>
    <cfRule type="containsText" dxfId="1386" priority="1502" operator="containsText" text="盆">
      <formula>NOT(ISERROR(SEARCH("盆",E71)))</formula>
    </cfRule>
  </conditionalFormatting>
  <conditionalFormatting sqref="F71">
    <cfRule type="containsText" dxfId="1385" priority="1487" operator="containsText" text="正">
      <formula>NOT(ISERROR(SEARCH("正",F71)))</formula>
    </cfRule>
    <cfRule type="containsText" dxfId="1384" priority="1488" operator="containsText" text="Ｇ">
      <formula>NOT(ISERROR(SEARCH("Ｇ",F71)))</formula>
    </cfRule>
    <cfRule type="containsText" dxfId="1383" priority="1489" operator="containsText" text="祝">
      <formula>NOT(ISERROR(SEARCH("祝",F71)))</formula>
    </cfRule>
    <cfRule type="containsText" dxfId="1382" priority="1490" operator="containsText" text="祝">
      <formula>NOT(ISERROR(SEARCH("祝",F71)))</formula>
    </cfRule>
    <cfRule type="containsText" dxfId="1381" priority="1491" operator="containsText" text="祝">
      <formula>NOT(ISERROR(SEARCH("祝",F71)))</formula>
    </cfRule>
    <cfRule type="containsText" dxfId="1380" priority="1492" operator="containsText" text="祝">
      <formula>NOT(ISERROR(SEARCH("祝",F71)))</formula>
    </cfRule>
    <cfRule type="containsText" dxfId="1379" priority="1493" operator="containsText" text="祝">
      <formula>NOT(ISERROR(SEARCH("祝",F71)))</formula>
    </cfRule>
    <cfRule type="containsText" dxfId="1378" priority="1494" operator="containsText" text="盆">
      <formula>NOT(ISERROR(SEARCH("盆",F71)))</formula>
    </cfRule>
  </conditionalFormatting>
  <conditionalFormatting sqref="G71">
    <cfRule type="containsText" dxfId="1377" priority="1479" operator="containsText" text="正">
      <formula>NOT(ISERROR(SEARCH("正",G71)))</formula>
    </cfRule>
    <cfRule type="containsText" dxfId="1376" priority="1480" operator="containsText" text="Ｇ">
      <formula>NOT(ISERROR(SEARCH("Ｇ",G71)))</formula>
    </cfRule>
    <cfRule type="containsText" dxfId="1375" priority="1481" operator="containsText" text="祝">
      <formula>NOT(ISERROR(SEARCH("祝",G71)))</formula>
    </cfRule>
    <cfRule type="containsText" dxfId="1374" priority="1482" operator="containsText" text="祝">
      <formula>NOT(ISERROR(SEARCH("祝",G71)))</formula>
    </cfRule>
    <cfRule type="containsText" dxfId="1373" priority="1483" operator="containsText" text="祝">
      <formula>NOT(ISERROR(SEARCH("祝",G71)))</formula>
    </cfRule>
    <cfRule type="containsText" dxfId="1372" priority="1484" operator="containsText" text="祝">
      <formula>NOT(ISERROR(SEARCH("祝",G71)))</formula>
    </cfRule>
    <cfRule type="containsText" dxfId="1371" priority="1485" operator="containsText" text="祝">
      <formula>NOT(ISERROR(SEARCH("祝",G71)))</formula>
    </cfRule>
    <cfRule type="containsText" dxfId="1370" priority="1486" operator="containsText" text="盆">
      <formula>NOT(ISERROR(SEARCH("盆",G71)))</formula>
    </cfRule>
  </conditionalFormatting>
  <conditionalFormatting sqref="C71">
    <cfRule type="containsText" dxfId="1369" priority="1463" operator="containsText" text="正">
      <formula>NOT(ISERROR(SEARCH("正",C71)))</formula>
    </cfRule>
    <cfRule type="containsText" dxfId="1368" priority="1464" operator="containsText" text="Ｇ">
      <formula>NOT(ISERROR(SEARCH("Ｇ",C71)))</formula>
    </cfRule>
    <cfRule type="containsText" dxfId="1367" priority="1465" operator="containsText" text="祝">
      <formula>NOT(ISERROR(SEARCH("祝",C71)))</formula>
    </cfRule>
    <cfRule type="containsText" dxfId="1366" priority="1466" operator="containsText" text="祝">
      <formula>NOT(ISERROR(SEARCH("祝",C71)))</formula>
    </cfRule>
    <cfRule type="containsText" dxfId="1365" priority="1467" operator="containsText" text="祝">
      <formula>NOT(ISERROR(SEARCH("祝",C71)))</formula>
    </cfRule>
    <cfRule type="containsText" dxfId="1364" priority="1468" operator="containsText" text="祝">
      <formula>NOT(ISERROR(SEARCH("祝",C71)))</formula>
    </cfRule>
    <cfRule type="containsText" dxfId="1363" priority="1469" operator="containsText" text="祝">
      <formula>NOT(ISERROR(SEARCH("祝",C71)))</formula>
    </cfRule>
    <cfRule type="containsText" dxfId="1362" priority="1470" operator="containsText" text="盆">
      <formula>NOT(ISERROR(SEARCH("盆",C71)))</formula>
    </cfRule>
  </conditionalFormatting>
  <conditionalFormatting sqref="D71">
    <cfRule type="containsText" dxfId="1361" priority="1455" operator="containsText" text="正">
      <formula>NOT(ISERROR(SEARCH("正",D71)))</formula>
    </cfRule>
    <cfRule type="containsText" dxfId="1360" priority="1456" operator="containsText" text="Ｇ">
      <formula>NOT(ISERROR(SEARCH("Ｇ",D71)))</formula>
    </cfRule>
    <cfRule type="containsText" dxfId="1359" priority="1457" operator="containsText" text="祝">
      <formula>NOT(ISERROR(SEARCH("祝",D71)))</formula>
    </cfRule>
    <cfRule type="containsText" dxfId="1358" priority="1458" operator="containsText" text="祝">
      <formula>NOT(ISERROR(SEARCH("祝",D71)))</formula>
    </cfRule>
    <cfRule type="containsText" dxfId="1357" priority="1459" operator="containsText" text="祝">
      <formula>NOT(ISERROR(SEARCH("祝",D71)))</formula>
    </cfRule>
    <cfRule type="containsText" dxfId="1356" priority="1460" operator="containsText" text="祝">
      <formula>NOT(ISERROR(SEARCH("祝",D71)))</formula>
    </cfRule>
    <cfRule type="containsText" dxfId="1355" priority="1461" operator="containsText" text="祝">
      <formula>NOT(ISERROR(SEARCH("祝",D71)))</formula>
    </cfRule>
    <cfRule type="containsText" dxfId="1354" priority="1462" operator="containsText" text="盆">
      <formula>NOT(ISERROR(SEARCH("盆",D71)))</formula>
    </cfRule>
  </conditionalFormatting>
  <conditionalFormatting sqref="J71">
    <cfRule type="containsText" dxfId="1353" priority="1447" operator="containsText" text="正">
      <formula>NOT(ISERROR(SEARCH("正",J71)))</formula>
    </cfRule>
    <cfRule type="containsText" dxfId="1352" priority="1448" operator="containsText" text="Ｇ">
      <formula>NOT(ISERROR(SEARCH("Ｇ",J71)))</formula>
    </cfRule>
    <cfRule type="containsText" dxfId="1351" priority="1449" operator="containsText" text="祝">
      <formula>NOT(ISERROR(SEARCH("祝",J71)))</formula>
    </cfRule>
    <cfRule type="containsText" dxfId="1350" priority="1450" operator="containsText" text="祝">
      <formula>NOT(ISERROR(SEARCH("祝",J71)))</formula>
    </cfRule>
    <cfRule type="containsText" dxfId="1349" priority="1451" operator="containsText" text="祝">
      <formula>NOT(ISERROR(SEARCH("祝",J71)))</formula>
    </cfRule>
    <cfRule type="containsText" dxfId="1348" priority="1452" operator="containsText" text="祝">
      <formula>NOT(ISERROR(SEARCH("祝",J71)))</formula>
    </cfRule>
    <cfRule type="containsText" dxfId="1347" priority="1453" operator="containsText" text="祝">
      <formula>NOT(ISERROR(SEARCH("祝",J71)))</formula>
    </cfRule>
    <cfRule type="containsText" dxfId="1346" priority="1454" operator="containsText" text="盆">
      <formula>NOT(ISERROR(SEARCH("盆",J71)))</formula>
    </cfRule>
  </conditionalFormatting>
  <conditionalFormatting sqref="K71">
    <cfRule type="containsText" dxfId="1345" priority="1439" operator="containsText" text="正">
      <formula>NOT(ISERROR(SEARCH("正",K71)))</formula>
    </cfRule>
    <cfRule type="containsText" dxfId="1344" priority="1440" operator="containsText" text="Ｇ">
      <formula>NOT(ISERROR(SEARCH("Ｇ",K71)))</formula>
    </cfRule>
    <cfRule type="containsText" dxfId="1343" priority="1441" operator="containsText" text="祝">
      <formula>NOT(ISERROR(SEARCH("祝",K71)))</formula>
    </cfRule>
    <cfRule type="containsText" dxfId="1342" priority="1442" operator="containsText" text="祝">
      <formula>NOT(ISERROR(SEARCH("祝",K71)))</formula>
    </cfRule>
    <cfRule type="containsText" dxfId="1341" priority="1443" operator="containsText" text="祝">
      <formula>NOT(ISERROR(SEARCH("祝",K71)))</formula>
    </cfRule>
    <cfRule type="containsText" dxfId="1340" priority="1444" operator="containsText" text="祝">
      <formula>NOT(ISERROR(SEARCH("祝",K71)))</formula>
    </cfRule>
    <cfRule type="containsText" dxfId="1339" priority="1445" operator="containsText" text="祝">
      <formula>NOT(ISERROR(SEARCH("祝",K71)))</formula>
    </cfRule>
    <cfRule type="containsText" dxfId="1338" priority="1446" operator="containsText" text="盆">
      <formula>NOT(ISERROR(SEARCH("盆",K71)))</formula>
    </cfRule>
  </conditionalFormatting>
  <conditionalFormatting sqref="Q71">
    <cfRule type="containsText" dxfId="1337" priority="1431" operator="containsText" text="正">
      <formula>NOT(ISERROR(SEARCH("正",Q71)))</formula>
    </cfRule>
    <cfRule type="containsText" dxfId="1336" priority="1432" operator="containsText" text="Ｇ">
      <formula>NOT(ISERROR(SEARCH("Ｇ",Q71)))</formula>
    </cfRule>
    <cfRule type="containsText" dxfId="1335" priority="1433" operator="containsText" text="祝">
      <formula>NOT(ISERROR(SEARCH("祝",Q71)))</formula>
    </cfRule>
    <cfRule type="containsText" dxfId="1334" priority="1434" operator="containsText" text="祝">
      <formula>NOT(ISERROR(SEARCH("祝",Q71)))</formula>
    </cfRule>
    <cfRule type="containsText" dxfId="1333" priority="1435" operator="containsText" text="祝">
      <formula>NOT(ISERROR(SEARCH("祝",Q71)))</formula>
    </cfRule>
    <cfRule type="containsText" dxfId="1332" priority="1436" operator="containsText" text="祝">
      <formula>NOT(ISERROR(SEARCH("祝",Q71)))</formula>
    </cfRule>
    <cfRule type="containsText" dxfId="1331" priority="1437" operator="containsText" text="祝">
      <formula>NOT(ISERROR(SEARCH("祝",Q71)))</formula>
    </cfRule>
    <cfRule type="containsText" dxfId="1330" priority="1438" operator="containsText" text="盆">
      <formula>NOT(ISERROR(SEARCH("盆",Q71)))</formula>
    </cfRule>
  </conditionalFormatting>
  <conditionalFormatting sqref="R71">
    <cfRule type="containsText" dxfId="1329" priority="1423" operator="containsText" text="正">
      <formula>NOT(ISERROR(SEARCH("正",R71)))</formula>
    </cfRule>
    <cfRule type="containsText" dxfId="1328" priority="1424" operator="containsText" text="Ｇ">
      <formula>NOT(ISERROR(SEARCH("Ｇ",R71)))</formula>
    </cfRule>
    <cfRule type="containsText" dxfId="1327" priority="1425" operator="containsText" text="祝">
      <formula>NOT(ISERROR(SEARCH("祝",R71)))</formula>
    </cfRule>
    <cfRule type="containsText" dxfId="1326" priority="1426" operator="containsText" text="祝">
      <formula>NOT(ISERROR(SEARCH("祝",R71)))</formula>
    </cfRule>
    <cfRule type="containsText" dxfId="1325" priority="1427" operator="containsText" text="祝">
      <formula>NOT(ISERROR(SEARCH("祝",R71)))</formula>
    </cfRule>
    <cfRule type="containsText" dxfId="1324" priority="1428" operator="containsText" text="祝">
      <formula>NOT(ISERROR(SEARCH("祝",R71)))</formula>
    </cfRule>
    <cfRule type="containsText" dxfId="1323" priority="1429" operator="containsText" text="祝">
      <formula>NOT(ISERROR(SEARCH("祝",R71)))</formula>
    </cfRule>
    <cfRule type="containsText" dxfId="1322" priority="1430" operator="containsText" text="盆">
      <formula>NOT(ISERROR(SEARCH("盆",R71)))</formula>
    </cfRule>
  </conditionalFormatting>
  <conditionalFormatting sqref="X71">
    <cfRule type="containsText" dxfId="1321" priority="1415" operator="containsText" text="正">
      <formula>NOT(ISERROR(SEARCH("正",X71)))</formula>
    </cfRule>
    <cfRule type="containsText" dxfId="1320" priority="1416" operator="containsText" text="Ｇ">
      <formula>NOT(ISERROR(SEARCH("Ｇ",X71)))</formula>
    </cfRule>
    <cfRule type="containsText" dxfId="1319" priority="1417" operator="containsText" text="祝">
      <formula>NOT(ISERROR(SEARCH("祝",X71)))</formula>
    </cfRule>
    <cfRule type="containsText" dxfId="1318" priority="1418" operator="containsText" text="祝">
      <formula>NOT(ISERROR(SEARCH("祝",X71)))</formula>
    </cfRule>
    <cfRule type="containsText" dxfId="1317" priority="1419" operator="containsText" text="祝">
      <formula>NOT(ISERROR(SEARCH("祝",X71)))</formula>
    </cfRule>
    <cfRule type="containsText" dxfId="1316" priority="1420" operator="containsText" text="祝">
      <formula>NOT(ISERROR(SEARCH("祝",X71)))</formula>
    </cfRule>
    <cfRule type="containsText" dxfId="1315" priority="1421" operator="containsText" text="祝">
      <formula>NOT(ISERROR(SEARCH("祝",X71)))</formula>
    </cfRule>
    <cfRule type="containsText" dxfId="1314" priority="1422" operator="containsText" text="盆">
      <formula>NOT(ISERROR(SEARCH("盆",X71)))</formula>
    </cfRule>
  </conditionalFormatting>
  <conditionalFormatting sqref="Y71">
    <cfRule type="containsText" dxfId="1313" priority="1407" operator="containsText" text="正">
      <formula>NOT(ISERROR(SEARCH("正",Y71)))</formula>
    </cfRule>
    <cfRule type="containsText" dxfId="1312" priority="1408" operator="containsText" text="Ｇ">
      <formula>NOT(ISERROR(SEARCH("Ｇ",Y71)))</formula>
    </cfRule>
    <cfRule type="containsText" dxfId="1311" priority="1409" operator="containsText" text="祝">
      <formula>NOT(ISERROR(SEARCH("祝",Y71)))</formula>
    </cfRule>
    <cfRule type="containsText" dxfId="1310" priority="1410" operator="containsText" text="祝">
      <formula>NOT(ISERROR(SEARCH("祝",Y71)))</formula>
    </cfRule>
    <cfRule type="containsText" dxfId="1309" priority="1411" operator="containsText" text="祝">
      <formula>NOT(ISERROR(SEARCH("祝",Y71)))</formula>
    </cfRule>
    <cfRule type="containsText" dxfId="1308" priority="1412" operator="containsText" text="祝">
      <formula>NOT(ISERROR(SEARCH("祝",Y71)))</formula>
    </cfRule>
    <cfRule type="containsText" dxfId="1307" priority="1413" operator="containsText" text="祝">
      <formula>NOT(ISERROR(SEARCH("祝",Y71)))</formula>
    </cfRule>
    <cfRule type="containsText" dxfId="1306" priority="1414" operator="containsText" text="盆">
      <formula>NOT(ISERROR(SEARCH("盆",Y71)))</formula>
    </cfRule>
  </conditionalFormatting>
  <conditionalFormatting sqref="H77:I77 L77:P77 S77:W77 Z77:AD77">
    <cfRule type="containsText" dxfId="1305" priority="1375" operator="containsText" text="正">
      <formula>NOT(ISERROR(SEARCH("正",H77)))</formula>
    </cfRule>
    <cfRule type="containsText" dxfId="1304" priority="1376" operator="containsText" text="Ｇ">
      <formula>NOT(ISERROR(SEARCH("Ｇ",H77)))</formula>
    </cfRule>
    <cfRule type="containsText" dxfId="1303" priority="1377" operator="containsText" text="祝">
      <formula>NOT(ISERROR(SEARCH("祝",H77)))</formula>
    </cfRule>
    <cfRule type="containsText" dxfId="1302" priority="1378" operator="containsText" text="祝">
      <formula>NOT(ISERROR(SEARCH("祝",H77)))</formula>
    </cfRule>
    <cfRule type="containsText" dxfId="1301" priority="1379" operator="containsText" text="祝">
      <formula>NOT(ISERROR(SEARCH("祝",H77)))</formula>
    </cfRule>
    <cfRule type="containsText" dxfId="1300" priority="1380" operator="containsText" text="祝">
      <formula>NOT(ISERROR(SEARCH("祝",H77)))</formula>
    </cfRule>
    <cfRule type="containsText" dxfId="1299" priority="1381" operator="containsText" text="祝">
      <formula>NOT(ISERROR(SEARCH("祝",H77)))</formula>
    </cfRule>
    <cfRule type="containsText" dxfId="1298" priority="1382" operator="containsText" text="盆">
      <formula>NOT(ISERROR(SEARCH("盆",H77)))</formula>
    </cfRule>
  </conditionalFormatting>
  <conditionalFormatting sqref="E77">
    <cfRule type="containsText" dxfId="1297" priority="1399" operator="containsText" text="正">
      <formula>NOT(ISERROR(SEARCH("正",E77)))</formula>
    </cfRule>
    <cfRule type="containsText" dxfId="1296" priority="1400" operator="containsText" text="Ｇ">
      <formula>NOT(ISERROR(SEARCH("Ｇ",E77)))</formula>
    </cfRule>
    <cfRule type="containsText" dxfId="1295" priority="1401" operator="containsText" text="祝">
      <formula>NOT(ISERROR(SEARCH("祝",E77)))</formula>
    </cfRule>
    <cfRule type="containsText" dxfId="1294" priority="1402" operator="containsText" text="祝">
      <formula>NOT(ISERROR(SEARCH("祝",E77)))</formula>
    </cfRule>
    <cfRule type="containsText" dxfId="1293" priority="1403" operator="containsText" text="祝">
      <formula>NOT(ISERROR(SEARCH("祝",E77)))</formula>
    </cfRule>
    <cfRule type="containsText" dxfId="1292" priority="1404" operator="containsText" text="祝">
      <formula>NOT(ISERROR(SEARCH("祝",E77)))</formula>
    </cfRule>
    <cfRule type="containsText" dxfId="1291" priority="1405" operator="containsText" text="祝">
      <formula>NOT(ISERROR(SEARCH("祝",E77)))</formula>
    </cfRule>
    <cfRule type="containsText" dxfId="1290" priority="1406" operator="containsText" text="盆">
      <formula>NOT(ISERROR(SEARCH("盆",E77)))</formula>
    </cfRule>
  </conditionalFormatting>
  <conditionalFormatting sqref="F77">
    <cfRule type="containsText" dxfId="1289" priority="1391" operator="containsText" text="正">
      <formula>NOT(ISERROR(SEARCH("正",F77)))</formula>
    </cfRule>
    <cfRule type="containsText" dxfId="1288" priority="1392" operator="containsText" text="Ｇ">
      <formula>NOT(ISERROR(SEARCH("Ｇ",F77)))</formula>
    </cfRule>
    <cfRule type="containsText" dxfId="1287" priority="1393" operator="containsText" text="祝">
      <formula>NOT(ISERROR(SEARCH("祝",F77)))</formula>
    </cfRule>
    <cfRule type="containsText" dxfId="1286" priority="1394" operator="containsText" text="祝">
      <formula>NOT(ISERROR(SEARCH("祝",F77)))</formula>
    </cfRule>
    <cfRule type="containsText" dxfId="1285" priority="1395" operator="containsText" text="祝">
      <formula>NOT(ISERROR(SEARCH("祝",F77)))</formula>
    </cfRule>
    <cfRule type="containsText" dxfId="1284" priority="1396" operator="containsText" text="祝">
      <formula>NOT(ISERROR(SEARCH("祝",F77)))</formula>
    </cfRule>
    <cfRule type="containsText" dxfId="1283" priority="1397" operator="containsText" text="祝">
      <formula>NOT(ISERROR(SEARCH("祝",F77)))</formula>
    </cfRule>
    <cfRule type="containsText" dxfId="1282" priority="1398" operator="containsText" text="盆">
      <formula>NOT(ISERROR(SEARCH("盆",F77)))</formula>
    </cfRule>
  </conditionalFormatting>
  <conditionalFormatting sqref="G77">
    <cfRule type="containsText" dxfId="1281" priority="1383" operator="containsText" text="正">
      <formula>NOT(ISERROR(SEARCH("正",G77)))</formula>
    </cfRule>
    <cfRule type="containsText" dxfId="1280" priority="1384" operator="containsText" text="Ｇ">
      <formula>NOT(ISERROR(SEARCH("Ｇ",G77)))</formula>
    </cfRule>
    <cfRule type="containsText" dxfId="1279" priority="1385" operator="containsText" text="祝">
      <formula>NOT(ISERROR(SEARCH("祝",G77)))</formula>
    </cfRule>
    <cfRule type="containsText" dxfId="1278" priority="1386" operator="containsText" text="祝">
      <formula>NOT(ISERROR(SEARCH("祝",G77)))</formula>
    </cfRule>
    <cfRule type="containsText" dxfId="1277" priority="1387" operator="containsText" text="祝">
      <formula>NOT(ISERROR(SEARCH("祝",G77)))</formula>
    </cfRule>
    <cfRule type="containsText" dxfId="1276" priority="1388" operator="containsText" text="祝">
      <formula>NOT(ISERROR(SEARCH("祝",G77)))</formula>
    </cfRule>
    <cfRule type="containsText" dxfId="1275" priority="1389" operator="containsText" text="祝">
      <formula>NOT(ISERROR(SEARCH("祝",G77)))</formula>
    </cfRule>
    <cfRule type="containsText" dxfId="1274" priority="1390" operator="containsText" text="盆">
      <formula>NOT(ISERROR(SEARCH("盆",G77)))</formula>
    </cfRule>
  </conditionalFormatting>
  <conditionalFormatting sqref="C77">
    <cfRule type="containsText" dxfId="1273" priority="1367" operator="containsText" text="正">
      <formula>NOT(ISERROR(SEARCH("正",C77)))</formula>
    </cfRule>
    <cfRule type="containsText" dxfId="1272" priority="1368" operator="containsText" text="Ｇ">
      <formula>NOT(ISERROR(SEARCH("Ｇ",C77)))</formula>
    </cfRule>
    <cfRule type="containsText" dxfId="1271" priority="1369" operator="containsText" text="祝">
      <formula>NOT(ISERROR(SEARCH("祝",C77)))</formula>
    </cfRule>
    <cfRule type="containsText" dxfId="1270" priority="1370" operator="containsText" text="祝">
      <formula>NOT(ISERROR(SEARCH("祝",C77)))</formula>
    </cfRule>
    <cfRule type="containsText" dxfId="1269" priority="1371" operator="containsText" text="祝">
      <formula>NOT(ISERROR(SEARCH("祝",C77)))</formula>
    </cfRule>
    <cfRule type="containsText" dxfId="1268" priority="1372" operator="containsText" text="祝">
      <formula>NOT(ISERROR(SEARCH("祝",C77)))</formula>
    </cfRule>
    <cfRule type="containsText" dxfId="1267" priority="1373" operator="containsText" text="祝">
      <formula>NOT(ISERROR(SEARCH("祝",C77)))</formula>
    </cfRule>
    <cfRule type="containsText" dxfId="1266" priority="1374" operator="containsText" text="盆">
      <formula>NOT(ISERROR(SEARCH("盆",C77)))</formula>
    </cfRule>
  </conditionalFormatting>
  <conditionalFormatting sqref="D77">
    <cfRule type="containsText" dxfId="1265" priority="1359" operator="containsText" text="正">
      <formula>NOT(ISERROR(SEARCH("正",D77)))</formula>
    </cfRule>
    <cfRule type="containsText" dxfId="1264" priority="1360" operator="containsText" text="Ｇ">
      <formula>NOT(ISERROR(SEARCH("Ｇ",D77)))</formula>
    </cfRule>
    <cfRule type="containsText" dxfId="1263" priority="1361" operator="containsText" text="祝">
      <formula>NOT(ISERROR(SEARCH("祝",D77)))</formula>
    </cfRule>
    <cfRule type="containsText" dxfId="1262" priority="1362" operator="containsText" text="祝">
      <formula>NOT(ISERROR(SEARCH("祝",D77)))</formula>
    </cfRule>
    <cfRule type="containsText" dxfId="1261" priority="1363" operator="containsText" text="祝">
      <formula>NOT(ISERROR(SEARCH("祝",D77)))</formula>
    </cfRule>
    <cfRule type="containsText" dxfId="1260" priority="1364" operator="containsText" text="祝">
      <formula>NOT(ISERROR(SEARCH("祝",D77)))</formula>
    </cfRule>
    <cfRule type="containsText" dxfId="1259" priority="1365" operator="containsText" text="祝">
      <formula>NOT(ISERROR(SEARCH("祝",D77)))</formula>
    </cfRule>
    <cfRule type="containsText" dxfId="1258" priority="1366" operator="containsText" text="盆">
      <formula>NOT(ISERROR(SEARCH("盆",D77)))</formula>
    </cfRule>
  </conditionalFormatting>
  <conditionalFormatting sqref="J77">
    <cfRule type="containsText" dxfId="1257" priority="1351" operator="containsText" text="正">
      <formula>NOT(ISERROR(SEARCH("正",J77)))</formula>
    </cfRule>
    <cfRule type="containsText" dxfId="1256" priority="1352" operator="containsText" text="Ｇ">
      <formula>NOT(ISERROR(SEARCH("Ｇ",J77)))</formula>
    </cfRule>
    <cfRule type="containsText" dxfId="1255" priority="1353" operator="containsText" text="祝">
      <formula>NOT(ISERROR(SEARCH("祝",J77)))</formula>
    </cfRule>
    <cfRule type="containsText" dxfId="1254" priority="1354" operator="containsText" text="祝">
      <formula>NOT(ISERROR(SEARCH("祝",J77)))</formula>
    </cfRule>
    <cfRule type="containsText" dxfId="1253" priority="1355" operator="containsText" text="祝">
      <formula>NOT(ISERROR(SEARCH("祝",J77)))</formula>
    </cfRule>
    <cfRule type="containsText" dxfId="1252" priority="1356" operator="containsText" text="祝">
      <formula>NOT(ISERROR(SEARCH("祝",J77)))</formula>
    </cfRule>
    <cfRule type="containsText" dxfId="1251" priority="1357" operator="containsText" text="祝">
      <formula>NOT(ISERROR(SEARCH("祝",J77)))</formula>
    </cfRule>
    <cfRule type="containsText" dxfId="1250" priority="1358" operator="containsText" text="盆">
      <formula>NOT(ISERROR(SEARCH("盆",J77)))</formula>
    </cfRule>
  </conditionalFormatting>
  <conditionalFormatting sqref="K77">
    <cfRule type="containsText" dxfId="1249" priority="1343" operator="containsText" text="正">
      <formula>NOT(ISERROR(SEARCH("正",K77)))</formula>
    </cfRule>
    <cfRule type="containsText" dxfId="1248" priority="1344" operator="containsText" text="Ｇ">
      <formula>NOT(ISERROR(SEARCH("Ｇ",K77)))</formula>
    </cfRule>
    <cfRule type="containsText" dxfId="1247" priority="1345" operator="containsText" text="祝">
      <formula>NOT(ISERROR(SEARCH("祝",K77)))</formula>
    </cfRule>
    <cfRule type="containsText" dxfId="1246" priority="1346" operator="containsText" text="祝">
      <formula>NOT(ISERROR(SEARCH("祝",K77)))</formula>
    </cfRule>
    <cfRule type="containsText" dxfId="1245" priority="1347" operator="containsText" text="祝">
      <formula>NOT(ISERROR(SEARCH("祝",K77)))</formula>
    </cfRule>
    <cfRule type="containsText" dxfId="1244" priority="1348" operator="containsText" text="祝">
      <formula>NOT(ISERROR(SEARCH("祝",K77)))</formula>
    </cfRule>
    <cfRule type="containsText" dxfId="1243" priority="1349" operator="containsText" text="祝">
      <formula>NOT(ISERROR(SEARCH("祝",K77)))</formula>
    </cfRule>
    <cfRule type="containsText" dxfId="1242" priority="1350" operator="containsText" text="盆">
      <formula>NOT(ISERROR(SEARCH("盆",K77)))</formula>
    </cfRule>
  </conditionalFormatting>
  <conditionalFormatting sqref="Q77">
    <cfRule type="containsText" dxfId="1241" priority="1335" operator="containsText" text="正">
      <formula>NOT(ISERROR(SEARCH("正",Q77)))</formula>
    </cfRule>
    <cfRule type="containsText" dxfId="1240" priority="1336" operator="containsText" text="Ｇ">
      <formula>NOT(ISERROR(SEARCH("Ｇ",Q77)))</formula>
    </cfRule>
    <cfRule type="containsText" dxfId="1239" priority="1337" operator="containsText" text="祝">
      <formula>NOT(ISERROR(SEARCH("祝",Q77)))</formula>
    </cfRule>
    <cfRule type="containsText" dxfId="1238" priority="1338" operator="containsText" text="祝">
      <formula>NOT(ISERROR(SEARCH("祝",Q77)))</formula>
    </cfRule>
    <cfRule type="containsText" dxfId="1237" priority="1339" operator="containsText" text="祝">
      <formula>NOT(ISERROR(SEARCH("祝",Q77)))</formula>
    </cfRule>
    <cfRule type="containsText" dxfId="1236" priority="1340" operator="containsText" text="祝">
      <formula>NOT(ISERROR(SEARCH("祝",Q77)))</formula>
    </cfRule>
    <cfRule type="containsText" dxfId="1235" priority="1341" operator="containsText" text="祝">
      <formula>NOT(ISERROR(SEARCH("祝",Q77)))</formula>
    </cfRule>
    <cfRule type="containsText" dxfId="1234" priority="1342" operator="containsText" text="盆">
      <formula>NOT(ISERROR(SEARCH("盆",Q77)))</formula>
    </cfRule>
  </conditionalFormatting>
  <conditionalFormatting sqref="R77">
    <cfRule type="containsText" dxfId="1233" priority="1327" operator="containsText" text="正">
      <formula>NOT(ISERROR(SEARCH("正",R77)))</formula>
    </cfRule>
    <cfRule type="containsText" dxfId="1232" priority="1328" operator="containsText" text="Ｇ">
      <formula>NOT(ISERROR(SEARCH("Ｇ",R77)))</formula>
    </cfRule>
    <cfRule type="containsText" dxfId="1231" priority="1329" operator="containsText" text="祝">
      <formula>NOT(ISERROR(SEARCH("祝",R77)))</formula>
    </cfRule>
    <cfRule type="containsText" dxfId="1230" priority="1330" operator="containsText" text="祝">
      <formula>NOT(ISERROR(SEARCH("祝",R77)))</formula>
    </cfRule>
    <cfRule type="containsText" dxfId="1229" priority="1331" operator="containsText" text="祝">
      <formula>NOT(ISERROR(SEARCH("祝",R77)))</formula>
    </cfRule>
    <cfRule type="containsText" dxfId="1228" priority="1332" operator="containsText" text="祝">
      <formula>NOT(ISERROR(SEARCH("祝",R77)))</formula>
    </cfRule>
    <cfRule type="containsText" dxfId="1227" priority="1333" operator="containsText" text="祝">
      <formula>NOT(ISERROR(SEARCH("祝",R77)))</formula>
    </cfRule>
    <cfRule type="containsText" dxfId="1226" priority="1334" operator="containsText" text="盆">
      <formula>NOT(ISERROR(SEARCH("盆",R77)))</formula>
    </cfRule>
  </conditionalFormatting>
  <conditionalFormatting sqref="X77">
    <cfRule type="containsText" dxfId="1225" priority="1319" operator="containsText" text="正">
      <formula>NOT(ISERROR(SEARCH("正",X77)))</formula>
    </cfRule>
    <cfRule type="containsText" dxfId="1224" priority="1320" operator="containsText" text="Ｇ">
      <formula>NOT(ISERROR(SEARCH("Ｇ",X77)))</formula>
    </cfRule>
    <cfRule type="containsText" dxfId="1223" priority="1321" operator="containsText" text="祝">
      <formula>NOT(ISERROR(SEARCH("祝",X77)))</formula>
    </cfRule>
    <cfRule type="containsText" dxfId="1222" priority="1322" operator="containsText" text="祝">
      <formula>NOT(ISERROR(SEARCH("祝",X77)))</formula>
    </cfRule>
    <cfRule type="containsText" dxfId="1221" priority="1323" operator="containsText" text="祝">
      <formula>NOT(ISERROR(SEARCH("祝",X77)))</formula>
    </cfRule>
    <cfRule type="containsText" dxfId="1220" priority="1324" operator="containsText" text="祝">
      <formula>NOT(ISERROR(SEARCH("祝",X77)))</formula>
    </cfRule>
    <cfRule type="containsText" dxfId="1219" priority="1325" operator="containsText" text="祝">
      <formula>NOT(ISERROR(SEARCH("祝",X77)))</formula>
    </cfRule>
    <cfRule type="containsText" dxfId="1218" priority="1326" operator="containsText" text="盆">
      <formula>NOT(ISERROR(SEARCH("盆",X77)))</formula>
    </cfRule>
  </conditionalFormatting>
  <conditionalFormatting sqref="Y77">
    <cfRule type="containsText" dxfId="1217" priority="1311" operator="containsText" text="正">
      <formula>NOT(ISERROR(SEARCH("正",Y77)))</formula>
    </cfRule>
    <cfRule type="containsText" dxfId="1216" priority="1312" operator="containsText" text="Ｇ">
      <formula>NOT(ISERROR(SEARCH("Ｇ",Y77)))</formula>
    </cfRule>
    <cfRule type="containsText" dxfId="1215" priority="1313" operator="containsText" text="祝">
      <formula>NOT(ISERROR(SEARCH("祝",Y77)))</formula>
    </cfRule>
    <cfRule type="containsText" dxfId="1214" priority="1314" operator="containsText" text="祝">
      <formula>NOT(ISERROR(SEARCH("祝",Y77)))</formula>
    </cfRule>
    <cfRule type="containsText" dxfId="1213" priority="1315" operator="containsText" text="祝">
      <formula>NOT(ISERROR(SEARCH("祝",Y77)))</formula>
    </cfRule>
    <cfRule type="containsText" dxfId="1212" priority="1316" operator="containsText" text="祝">
      <formula>NOT(ISERROR(SEARCH("祝",Y77)))</formula>
    </cfRule>
    <cfRule type="containsText" dxfId="1211" priority="1317" operator="containsText" text="祝">
      <formula>NOT(ISERROR(SEARCH("祝",Y77)))</formula>
    </cfRule>
    <cfRule type="containsText" dxfId="1210" priority="1318" operator="containsText" text="盆">
      <formula>NOT(ISERROR(SEARCH("盆",Y77)))</formula>
    </cfRule>
  </conditionalFormatting>
  <conditionalFormatting sqref="H83:I83 L83:P83 S83:W83 Z83:AD83">
    <cfRule type="containsText" dxfId="1209" priority="1279" operator="containsText" text="正">
      <formula>NOT(ISERROR(SEARCH("正",H83)))</formula>
    </cfRule>
    <cfRule type="containsText" dxfId="1208" priority="1280" operator="containsText" text="Ｇ">
      <formula>NOT(ISERROR(SEARCH("Ｇ",H83)))</formula>
    </cfRule>
    <cfRule type="containsText" dxfId="1207" priority="1281" operator="containsText" text="祝">
      <formula>NOT(ISERROR(SEARCH("祝",H83)))</formula>
    </cfRule>
    <cfRule type="containsText" dxfId="1206" priority="1282" operator="containsText" text="祝">
      <formula>NOT(ISERROR(SEARCH("祝",H83)))</formula>
    </cfRule>
    <cfRule type="containsText" dxfId="1205" priority="1283" operator="containsText" text="祝">
      <formula>NOT(ISERROR(SEARCH("祝",H83)))</formula>
    </cfRule>
    <cfRule type="containsText" dxfId="1204" priority="1284" operator="containsText" text="祝">
      <formula>NOT(ISERROR(SEARCH("祝",H83)))</formula>
    </cfRule>
    <cfRule type="containsText" dxfId="1203" priority="1285" operator="containsText" text="祝">
      <formula>NOT(ISERROR(SEARCH("祝",H83)))</formula>
    </cfRule>
    <cfRule type="containsText" dxfId="1202" priority="1286" operator="containsText" text="盆">
      <formula>NOT(ISERROR(SEARCH("盆",H83)))</formula>
    </cfRule>
  </conditionalFormatting>
  <conditionalFormatting sqref="E83">
    <cfRule type="containsText" dxfId="1201" priority="1303" operator="containsText" text="正">
      <formula>NOT(ISERROR(SEARCH("正",E83)))</formula>
    </cfRule>
    <cfRule type="containsText" dxfId="1200" priority="1304" operator="containsText" text="Ｇ">
      <formula>NOT(ISERROR(SEARCH("Ｇ",E83)))</formula>
    </cfRule>
    <cfRule type="containsText" dxfId="1199" priority="1305" operator="containsText" text="祝">
      <formula>NOT(ISERROR(SEARCH("祝",E83)))</formula>
    </cfRule>
    <cfRule type="containsText" dxfId="1198" priority="1306" operator="containsText" text="祝">
      <formula>NOT(ISERROR(SEARCH("祝",E83)))</formula>
    </cfRule>
    <cfRule type="containsText" dxfId="1197" priority="1307" operator="containsText" text="祝">
      <formula>NOT(ISERROR(SEARCH("祝",E83)))</formula>
    </cfRule>
    <cfRule type="containsText" dxfId="1196" priority="1308" operator="containsText" text="祝">
      <formula>NOT(ISERROR(SEARCH("祝",E83)))</formula>
    </cfRule>
    <cfRule type="containsText" dxfId="1195" priority="1309" operator="containsText" text="祝">
      <formula>NOT(ISERROR(SEARCH("祝",E83)))</formula>
    </cfRule>
    <cfRule type="containsText" dxfId="1194" priority="1310" operator="containsText" text="盆">
      <formula>NOT(ISERROR(SEARCH("盆",E83)))</formula>
    </cfRule>
  </conditionalFormatting>
  <conditionalFormatting sqref="F83">
    <cfRule type="containsText" dxfId="1193" priority="1295" operator="containsText" text="正">
      <formula>NOT(ISERROR(SEARCH("正",F83)))</formula>
    </cfRule>
    <cfRule type="containsText" dxfId="1192" priority="1296" operator="containsText" text="Ｇ">
      <formula>NOT(ISERROR(SEARCH("Ｇ",F83)))</formula>
    </cfRule>
    <cfRule type="containsText" dxfId="1191" priority="1297" operator="containsText" text="祝">
      <formula>NOT(ISERROR(SEARCH("祝",F83)))</formula>
    </cfRule>
    <cfRule type="containsText" dxfId="1190" priority="1298" operator="containsText" text="祝">
      <formula>NOT(ISERROR(SEARCH("祝",F83)))</formula>
    </cfRule>
    <cfRule type="containsText" dxfId="1189" priority="1299" operator="containsText" text="祝">
      <formula>NOT(ISERROR(SEARCH("祝",F83)))</formula>
    </cfRule>
    <cfRule type="containsText" dxfId="1188" priority="1300" operator="containsText" text="祝">
      <formula>NOT(ISERROR(SEARCH("祝",F83)))</formula>
    </cfRule>
    <cfRule type="containsText" dxfId="1187" priority="1301" operator="containsText" text="祝">
      <formula>NOT(ISERROR(SEARCH("祝",F83)))</formula>
    </cfRule>
    <cfRule type="containsText" dxfId="1186" priority="1302" operator="containsText" text="盆">
      <formula>NOT(ISERROR(SEARCH("盆",F83)))</formula>
    </cfRule>
  </conditionalFormatting>
  <conditionalFormatting sqref="G83">
    <cfRule type="containsText" dxfId="1185" priority="1287" operator="containsText" text="正">
      <formula>NOT(ISERROR(SEARCH("正",G83)))</formula>
    </cfRule>
    <cfRule type="containsText" dxfId="1184" priority="1288" operator="containsText" text="Ｇ">
      <formula>NOT(ISERROR(SEARCH("Ｇ",G83)))</formula>
    </cfRule>
    <cfRule type="containsText" dxfId="1183" priority="1289" operator="containsText" text="祝">
      <formula>NOT(ISERROR(SEARCH("祝",G83)))</formula>
    </cfRule>
    <cfRule type="containsText" dxfId="1182" priority="1290" operator="containsText" text="祝">
      <formula>NOT(ISERROR(SEARCH("祝",G83)))</formula>
    </cfRule>
    <cfRule type="containsText" dxfId="1181" priority="1291" operator="containsText" text="祝">
      <formula>NOT(ISERROR(SEARCH("祝",G83)))</formula>
    </cfRule>
    <cfRule type="containsText" dxfId="1180" priority="1292" operator="containsText" text="祝">
      <formula>NOT(ISERROR(SEARCH("祝",G83)))</formula>
    </cfRule>
    <cfRule type="containsText" dxfId="1179" priority="1293" operator="containsText" text="祝">
      <formula>NOT(ISERROR(SEARCH("祝",G83)))</formula>
    </cfRule>
    <cfRule type="containsText" dxfId="1178" priority="1294" operator="containsText" text="盆">
      <formula>NOT(ISERROR(SEARCH("盆",G83)))</formula>
    </cfRule>
  </conditionalFormatting>
  <conditionalFormatting sqref="C83">
    <cfRule type="containsText" dxfId="1177" priority="1271" operator="containsText" text="正">
      <formula>NOT(ISERROR(SEARCH("正",C83)))</formula>
    </cfRule>
    <cfRule type="containsText" dxfId="1176" priority="1272" operator="containsText" text="Ｇ">
      <formula>NOT(ISERROR(SEARCH("Ｇ",C83)))</formula>
    </cfRule>
    <cfRule type="containsText" dxfId="1175" priority="1273" operator="containsText" text="祝">
      <formula>NOT(ISERROR(SEARCH("祝",C83)))</formula>
    </cfRule>
    <cfRule type="containsText" dxfId="1174" priority="1274" operator="containsText" text="祝">
      <formula>NOT(ISERROR(SEARCH("祝",C83)))</formula>
    </cfRule>
    <cfRule type="containsText" dxfId="1173" priority="1275" operator="containsText" text="祝">
      <formula>NOT(ISERROR(SEARCH("祝",C83)))</formula>
    </cfRule>
    <cfRule type="containsText" dxfId="1172" priority="1276" operator="containsText" text="祝">
      <formula>NOT(ISERROR(SEARCH("祝",C83)))</formula>
    </cfRule>
    <cfRule type="containsText" dxfId="1171" priority="1277" operator="containsText" text="祝">
      <formula>NOT(ISERROR(SEARCH("祝",C83)))</formula>
    </cfRule>
    <cfRule type="containsText" dxfId="1170" priority="1278" operator="containsText" text="盆">
      <formula>NOT(ISERROR(SEARCH("盆",C83)))</formula>
    </cfRule>
  </conditionalFormatting>
  <conditionalFormatting sqref="D83">
    <cfRule type="containsText" dxfId="1169" priority="1263" operator="containsText" text="正">
      <formula>NOT(ISERROR(SEARCH("正",D83)))</formula>
    </cfRule>
    <cfRule type="containsText" dxfId="1168" priority="1264" operator="containsText" text="Ｇ">
      <formula>NOT(ISERROR(SEARCH("Ｇ",D83)))</formula>
    </cfRule>
    <cfRule type="containsText" dxfId="1167" priority="1265" operator="containsText" text="祝">
      <formula>NOT(ISERROR(SEARCH("祝",D83)))</formula>
    </cfRule>
    <cfRule type="containsText" dxfId="1166" priority="1266" operator="containsText" text="祝">
      <formula>NOT(ISERROR(SEARCH("祝",D83)))</formula>
    </cfRule>
    <cfRule type="containsText" dxfId="1165" priority="1267" operator="containsText" text="祝">
      <formula>NOT(ISERROR(SEARCH("祝",D83)))</formula>
    </cfRule>
    <cfRule type="containsText" dxfId="1164" priority="1268" operator="containsText" text="祝">
      <formula>NOT(ISERROR(SEARCH("祝",D83)))</formula>
    </cfRule>
    <cfRule type="containsText" dxfId="1163" priority="1269" operator="containsText" text="祝">
      <formula>NOT(ISERROR(SEARCH("祝",D83)))</formula>
    </cfRule>
    <cfRule type="containsText" dxfId="1162" priority="1270" operator="containsText" text="盆">
      <formula>NOT(ISERROR(SEARCH("盆",D83)))</formula>
    </cfRule>
  </conditionalFormatting>
  <conditionalFormatting sqref="J83">
    <cfRule type="containsText" dxfId="1161" priority="1255" operator="containsText" text="正">
      <formula>NOT(ISERROR(SEARCH("正",J83)))</formula>
    </cfRule>
    <cfRule type="containsText" dxfId="1160" priority="1256" operator="containsText" text="Ｇ">
      <formula>NOT(ISERROR(SEARCH("Ｇ",J83)))</formula>
    </cfRule>
    <cfRule type="containsText" dxfId="1159" priority="1257" operator="containsText" text="祝">
      <formula>NOT(ISERROR(SEARCH("祝",J83)))</formula>
    </cfRule>
    <cfRule type="containsText" dxfId="1158" priority="1258" operator="containsText" text="祝">
      <formula>NOT(ISERROR(SEARCH("祝",J83)))</formula>
    </cfRule>
    <cfRule type="containsText" dxfId="1157" priority="1259" operator="containsText" text="祝">
      <formula>NOT(ISERROR(SEARCH("祝",J83)))</formula>
    </cfRule>
    <cfRule type="containsText" dxfId="1156" priority="1260" operator="containsText" text="祝">
      <formula>NOT(ISERROR(SEARCH("祝",J83)))</formula>
    </cfRule>
    <cfRule type="containsText" dxfId="1155" priority="1261" operator="containsText" text="祝">
      <formula>NOT(ISERROR(SEARCH("祝",J83)))</formula>
    </cfRule>
    <cfRule type="containsText" dxfId="1154" priority="1262" operator="containsText" text="盆">
      <formula>NOT(ISERROR(SEARCH("盆",J83)))</formula>
    </cfRule>
  </conditionalFormatting>
  <conditionalFormatting sqref="K83">
    <cfRule type="containsText" dxfId="1153" priority="1247" operator="containsText" text="正">
      <formula>NOT(ISERROR(SEARCH("正",K83)))</formula>
    </cfRule>
    <cfRule type="containsText" dxfId="1152" priority="1248" operator="containsText" text="Ｇ">
      <formula>NOT(ISERROR(SEARCH("Ｇ",K83)))</formula>
    </cfRule>
    <cfRule type="containsText" dxfId="1151" priority="1249" operator="containsText" text="祝">
      <formula>NOT(ISERROR(SEARCH("祝",K83)))</formula>
    </cfRule>
    <cfRule type="containsText" dxfId="1150" priority="1250" operator="containsText" text="祝">
      <formula>NOT(ISERROR(SEARCH("祝",K83)))</formula>
    </cfRule>
    <cfRule type="containsText" dxfId="1149" priority="1251" operator="containsText" text="祝">
      <formula>NOT(ISERROR(SEARCH("祝",K83)))</formula>
    </cfRule>
    <cfRule type="containsText" dxfId="1148" priority="1252" operator="containsText" text="祝">
      <formula>NOT(ISERROR(SEARCH("祝",K83)))</formula>
    </cfRule>
    <cfRule type="containsText" dxfId="1147" priority="1253" operator="containsText" text="祝">
      <formula>NOT(ISERROR(SEARCH("祝",K83)))</formula>
    </cfRule>
    <cfRule type="containsText" dxfId="1146" priority="1254" operator="containsText" text="盆">
      <formula>NOT(ISERROR(SEARCH("盆",K83)))</formula>
    </cfRule>
  </conditionalFormatting>
  <conditionalFormatting sqref="Q83">
    <cfRule type="containsText" dxfId="1145" priority="1239" operator="containsText" text="正">
      <formula>NOT(ISERROR(SEARCH("正",Q83)))</formula>
    </cfRule>
    <cfRule type="containsText" dxfId="1144" priority="1240" operator="containsText" text="Ｇ">
      <formula>NOT(ISERROR(SEARCH("Ｇ",Q83)))</formula>
    </cfRule>
    <cfRule type="containsText" dxfId="1143" priority="1241" operator="containsText" text="祝">
      <formula>NOT(ISERROR(SEARCH("祝",Q83)))</formula>
    </cfRule>
    <cfRule type="containsText" dxfId="1142" priority="1242" operator="containsText" text="祝">
      <formula>NOT(ISERROR(SEARCH("祝",Q83)))</formula>
    </cfRule>
    <cfRule type="containsText" dxfId="1141" priority="1243" operator="containsText" text="祝">
      <formula>NOT(ISERROR(SEARCH("祝",Q83)))</formula>
    </cfRule>
    <cfRule type="containsText" dxfId="1140" priority="1244" operator="containsText" text="祝">
      <formula>NOT(ISERROR(SEARCH("祝",Q83)))</formula>
    </cfRule>
    <cfRule type="containsText" dxfId="1139" priority="1245" operator="containsText" text="祝">
      <formula>NOT(ISERROR(SEARCH("祝",Q83)))</formula>
    </cfRule>
    <cfRule type="containsText" dxfId="1138" priority="1246" operator="containsText" text="盆">
      <formula>NOT(ISERROR(SEARCH("盆",Q83)))</formula>
    </cfRule>
  </conditionalFormatting>
  <conditionalFormatting sqref="R83">
    <cfRule type="containsText" dxfId="1137" priority="1231" operator="containsText" text="正">
      <formula>NOT(ISERROR(SEARCH("正",R83)))</formula>
    </cfRule>
    <cfRule type="containsText" dxfId="1136" priority="1232" operator="containsText" text="Ｇ">
      <formula>NOT(ISERROR(SEARCH("Ｇ",R83)))</formula>
    </cfRule>
    <cfRule type="containsText" dxfId="1135" priority="1233" operator="containsText" text="祝">
      <formula>NOT(ISERROR(SEARCH("祝",R83)))</formula>
    </cfRule>
    <cfRule type="containsText" dxfId="1134" priority="1234" operator="containsText" text="祝">
      <formula>NOT(ISERROR(SEARCH("祝",R83)))</formula>
    </cfRule>
    <cfRule type="containsText" dxfId="1133" priority="1235" operator="containsText" text="祝">
      <formula>NOT(ISERROR(SEARCH("祝",R83)))</formula>
    </cfRule>
    <cfRule type="containsText" dxfId="1132" priority="1236" operator="containsText" text="祝">
      <formula>NOT(ISERROR(SEARCH("祝",R83)))</formula>
    </cfRule>
    <cfRule type="containsText" dxfId="1131" priority="1237" operator="containsText" text="祝">
      <formula>NOT(ISERROR(SEARCH("祝",R83)))</formula>
    </cfRule>
    <cfRule type="containsText" dxfId="1130" priority="1238" operator="containsText" text="盆">
      <formula>NOT(ISERROR(SEARCH("盆",R83)))</formula>
    </cfRule>
  </conditionalFormatting>
  <conditionalFormatting sqref="X83">
    <cfRule type="containsText" dxfId="1129" priority="1223" operator="containsText" text="正">
      <formula>NOT(ISERROR(SEARCH("正",X83)))</formula>
    </cfRule>
    <cfRule type="containsText" dxfId="1128" priority="1224" operator="containsText" text="Ｇ">
      <formula>NOT(ISERROR(SEARCH("Ｇ",X83)))</formula>
    </cfRule>
    <cfRule type="containsText" dxfId="1127" priority="1225" operator="containsText" text="祝">
      <formula>NOT(ISERROR(SEARCH("祝",X83)))</formula>
    </cfRule>
    <cfRule type="containsText" dxfId="1126" priority="1226" operator="containsText" text="祝">
      <formula>NOT(ISERROR(SEARCH("祝",X83)))</formula>
    </cfRule>
    <cfRule type="containsText" dxfId="1125" priority="1227" operator="containsText" text="祝">
      <formula>NOT(ISERROR(SEARCH("祝",X83)))</formula>
    </cfRule>
    <cfRule type="containsText" dxfId="1124" priority="1228" operator="containsText" text="祝">
      <formula>NOT(ISERROR(SEARCH("祝",X83)))</formula>
    </cfRule>
    <cfRule type="containsText" dxfId="1123" priority="1229" operator="containsText" text="祝">
      <formula>NOT(ISERROR(SEARCH("祝",X83)))</formula>
    </cfRule>
    <cfRule type="containsText" dxfId="1122" priority="1230" operator="containsText" text="盆">
      <formula>NOT(ISERROR(SEARCH("盆",X83)))</formula>
    </cfRule>
  </conditionalFormatting>
  <conditionalFormatting sqref="Y83">
    <cfRule type="containsText" dxfId="1121" priority="1215" operator="containsText" text="正">
      <formula>NOT(ISERROR(SEARCH("正",Y83)))</formula>
    </cfRule>
    <cfRule type="containsText" dxfId="1120" priority="1216" operator="containsText" text="Ｇ">
      <formula>NOT(ISERROR(SEARCH("Ｇ",Y83)))</formula>
    </cfRule>
    <cfRule type="containsText" dxfId="1119" priority="1217" operator="containsText" text="祝">
      <formula>NOT(ISERROR(SEARCH("祝",Y83)))</formula>
    </cfRule>
    <cfRule type="containsText" dxfId="1118" priority="1218" operator="containsText" text="祝">
      <formula>NOT(ISERROR(SEARCH("祝",Y83)))</formula>
    </cfRule>
    <cfRule type="containsText" dxfId="1117" priority="1219" operator="containsText" text="祝">
      <formula>NOT(ISERROR(SEARCH("祝",Y83)))</formula>
    </cfRule>
    <cfRule type="containsText" dxfId="1116" priority="1220" operator="containsText" text="祝">
      <formula>NOT(ISERROR(SEARCH("祝",Y83)))</formula>
    </cfRule>
    <cfRule type="containsText" dxfId="1115" priority="1221" operator="containsText" text="祝">
      <formula>NOT(ISERROR(SEARCH("祝",Y83)))</formula>
    </cfRule>
    <cfRule type="containsText" dxfId="1114" priority="1222" operator="containsText" text="盆">
      <formula>NOT(ISERROR(SEARCH("盆",Y83)))</formula>
    </cfRule>
  </conditionalFormatting>
  <conditionalFormatting sqref="H89:I89 L89:P89 S89:W89 Z89:AD89">
    <cfRule type="containsText" dxfId="1113" priority="1183" operator="containsText" text="正">
      <formula>NOT(ISERROR(SEARCH("正",H89)))</formula>
    </cfRule>
    <cfRule type="containsText" dxfId="1112" priority="1184" operator="containsText" text="Ｇ">
      <formula>NOT(ISERROR(SEARCH("Ｇ",H89)))</formula>
    </cfRule>
    <cfRule type="containsText" dxfId="1111" priority="1185" operator="containsText" text="祝">
      <formula>NOT(ISERROR(SEARCH("祝",H89)))</formula>
    </cfRule>
    <cfRule type="containsText" dxfId="1110" priority="1186" operator="containsText" text="祝">
      <formula>NOT(ISERROR(SEARCH("祝",H89)))</formula>
    </cfRule>
    <cfRule type="containsText" dxfId="1109" priority="1187" operator="containsText" text="祝">
      <formula>NOT(ISERROR(SEARCH("祝",H89)))</formula>
    </cfRule>
    <cfRule type="containsText" dxfId="1108" priority="1188" operator="containsText" text="祝">
      <formula>NOT(ISERROR(SEARCH("祝",H89)))</formula>
    </cfRule>
    <cfRule type="containsText" dxfId="1107" priority="1189" operator="containsText" text="祝">
      <formula>NOT(ISERROR(SEARCH("祝",H89)))</formula>
    </cfRule>
    <cfRule type="containsText" dxfId="1106" priority="1190" operator="containsText" text="盆">
      <formula>NOT(ISERROR(SEARCH("盆",H89)))</formula>
    </cfRule>
  </conditionalFormatting>
  <conditionalFormatting sqref="E89">
    <cfRule type="containsText" dxfId="1105" priority="1207" operator="containsText" text="正">
      <formula>NOT(ISERROR(SEARCH("正",E89)))</formula>
    </cfRule>
    <cfRule type="containsText" dxfId="1104" priority="1208" operator="containsText" text="Ｇ">
      <formula>NOT(ISERROR(SEARCH("Ｇ",E89)))</formula>
    </cfRule>
    <cfRule type="containsText" dxfId="1103" priority="1209" operator="containsText" text="祝">
      <formula>NOT(ISERROR(SEARCH("祝",E89)))</formula>
    </cfRule>
    <cfRule type="containsText" dxfId="1102" priority="1210" operator="containsText" text="祝">
      <formula>NOT(ISERROR(SEARCH("祝",E89)))</formula>
    </cfRule>
    <cfRule type="containsText" dxfId="1101" priority="1211" operator="containsText" text="祝">
      <formula>NOT(ISERROR(SEARCH("祝",E89)))</formula>
    </cfRule>
    <cfRule type="containsText" dxfId="1100" priority="1212" operator="containsText" text="祝">
      <formula>NOT(ISERROR(SEARCH("祝",E89)))</formula>
    </cfRule>
    <cfRule type="containsText" dxfId="1099" priority="1213" operator="containsText" text="祝">
      <formula>NOT(ISERROR(SEARCH("祝",E89)))</formula>
    </cfRule>
    <cfRule type="containsText" dxfId="1098" priority="1214" operator="containsText" text="盆">
      <formula>NOT(ISERROR(SEARCH("盆",E89)))</formula>
    </cfRule>
  </conditionalFormatting>
  <conditionalFormatting sqref="F89">
    <cfRule type="containsText" dxfId="1097" priority="1199" operator="containsText" text="正">
      <formula>NOT(ISERROR(SEARCH("正",F89)))</formula>
    </cfRule>
    <cfRule type="containsText" dxfId="1096" priority="1200" operator="containsText" text="Ｇ">
      <formula>NOT(ISERROR(SEARCH("Ｇ",F89)))</formula>
    </cfRule>
    <cfRule type="containsText" dxfId="1095" priority="1201" operator="containsText" text="祝">
      <formula>NOT(ISERROR(SEARCH("祝",F89)))</formula>
    </cfRule>
    <cfRule type="containsText" dxfId="1094" priority="1202" operator="containsText" text="祝">
      <formula>NOT(ISERROR(SEARCH("祝",F89)))</formula>
    </cfRule>
    <cfRule type="containsText" dxfId="1093" priority="1203" operator="containsText" text="祝">
      <formula>NOT(ISERROR(SEARCH("祝",F89)))</formula>
    </cfRule>
    <cfRule type="containsText" dxfId="1092" priority="1204" operator="containsText" text="祝">
      <formula>NOT(ISERROR(SEARCH("祝",F89)))</formula>
    </cfRule>
    <cfRule type="containsText" dxfId="1091" priority="1205" operator="containsText" text="祝">
      <formula>NOT(ISERROR(SEARCH("祝",F89)))</formula>
    </cfRule>
    <cfRule type="containsText" dxfId="1090" priority="1206" operator="containsText" text="盆">
      <formula>NOT(ISERROR(SEARCH("盆",F89)))</formula>
    </cfRule>
  </conditionalFormatting>
  <conditionalFormatting sqref="G89">
    <cfRule type="containsText" dxfId="1089" priority="1191" operator="containsText" text="正">
      <formula>NOT(ISERROR(SEARCH("正",G89)))</formula>
    </cfRule>
    <cfRule type="containsText" dxfId="1088" priority="1192" operator="containsText" text="Ｇ">
      <formula>NOT(ISERROR(SEARCH("Ｇ",G89)))</formula>
    </cfRule>
    <cfRule type="containsText" dxfId="1087" priority="1193" operator="containsText" text="祝">
      <formula>NOT(ISERROR(SEARCH("祝",G89)))</formula>
    </cfRule>
    <cfRule type="containsText" dxfId="1086" priority="1194" operator="containsText" text="祝">
      <formula>NOT(ISERROR(SEARCH("祝",G89)))</formula>
    </cfRule>
    <cfRule type="containsText" dxfId="1085" priority="1195" operator="containsText" text="祝">
      <formula>NOT(ISERROR(SEARCH("祝",G89)))</formula>
    </cfRule>
    <cfRule type="containsText" dxfId="1084" priority="1196" operator="containsText" text="祝">
      <formula>NOT(ISERROR(SEARCH("祝",G89)))</formula>
    </cfRule>
    <cfRule type="containsText" dxfId="1083" priority="1197" operator="containsText" text="祝">
      <formula>NOT(ISERROR(SEARCH("祝",G89)))</formula>
    </cfRule>
    <cfRule type="containsText" dxfId="1082" priority="1198" operator="containsText" text="盆">
      <formula>NOT(ISERROR(SEARCH("盆",G89)))</formula>
    </cfRule>
  </conditionalFormatting>
  <conditionalFormatting sqref="C89">
    <cfRule type="containsText" dxfId="1081" priority="1175" operator="containsText" text="正">
      <formula>NOT(ISERROR(SEARCH("正",C89)))</formula>
    </cfRule>
    <cfRule type="containsText" dxfId="1080" priority="1176" operator="containsText" text="Ｇ">
      <formula>NOT(ISERROR(SEARCH("Ｇ",C89)))</formula>
    </cfRule>
    <cfRule type="containsText" dxfId="1079" priority="1177" operator="containsText" text="祝">
      <formula>NOT(ISERROR(SEARCH("祝",C89)))</formula>
    </cfRule>
    <cfRule type="containsText" dxfId="1078" priority="1178" operator="containsText" text="祝">
      <formula>NOT(ISERROR(SEARCH("祝",C89)))</formula>
    </cfRule>
    <cfRule type="containsText" dxfId="1077" priority="1179" operator="containsText" text="祝">
      <formula>NOT(ISERROR(SEARCH("祝",C89)))</formula>
    </cfRule>
    <cfRule type="containsText" dxfId="1076" priority="1180" operator="containsText" text="祝">
      <formula>NOT(ISERROR(SEARCH("祝",C89)))</formula>
    </cfRule>
    <cfRule type="containsText" dxfId="1075" priority="1181" operator="containsText" text="祝">
      <formula>NOT(ISERROR(SEARCH("祝",C89)))</formula>
    </cfRule>
    <cfRule type="containsText" dxfId="1074" priority="1182" operator="containsText" text="盆">
      <formula>NOT(ISERROR(SEARCH("盆",C89)))</formula>
    </cfRule>
  </conditionalFormatting>
  <conditionalFormatting sqref="D89">
    <cfRule type="containsText" dxfId="1073" priority="1167" operator="containsText" text="正">
      <formula>NOT(ISERROR(SEARCH("正",D89)))</formula>
    </cfRule>
    <cfRule type="containsText" dxfId="1072" priority="1168" operator="containsText" text="Ｇ">
      <formula>NOT(ISERROR(SEARCH("Ｇ",D89)))</formula>
    </cfRule>
    <cfRule type="containsText" dxfId="1071" priority="1169" operator="containsText" text="祝">
      <formula>NOT(ISERROR(SEARCH("祝",D89)))</formula>
    </cfRule>
    <cfRule type="containsText" dxfId="1070" priority="1170" operator="containsText" text="祝">
      <formula>NOT(ISERROR(SEARCH("祝",D89)))</formula>
    </cfRule>
    <cfRule type="containsText" dxfId="1069" priority="1171" operator="containsText" text="祝">
      <formula>NOT(ISERROR(SEARCH("祝",D89)))</formula>
    </cfRule>
    <cfRule type="containsText" dxfId="1068" priority="1172" operator="containsText" text="祝">
      <formula>NOT(ISERROR(SEARCH("祝",D89)))</formula>
    </cfRule>
    <cfRule type="containsText" dxfId="1067" priority="1173" operator="containsText" text="祝">
      <formula>NOT(ISERROR(SEARCH("祝",D89)))</formula>
    </cfRule>
    <cfRule type="containsText" dxfId="1066" priority="1174" operator="containsText" text="盆">
      <formula>NOT(ISERROR(SEARCH("盆",D89)))</formula>
    </cfRule>
  </conditionalFormatting>
  <conditionalFormatting sqref="J89">
    <cfRule type="containsText" dxfId="1065" priority="1159" operator="containsText" text="正">
      <formula>NOT(ISERROR(SEARCH("正",J89)))</formula>
    </cfRule>
    <cfRule type="containsText" dxfId="1064" priority="1160" operator="containsText" text="Ｇ">
      <formula>NOT(ISERROR(SEARCH("Ｇ",J89)))</formula>
    </cfRule>
    <cfRule type="containsText" dxfId="1063" priority="1161" operator="containsText" text="祝">
      <formula>NOT(ISERROR(SEARCH("祝",J89)))</formula>
    </cfRule>
    <cfRule type="containsText" dxfId="1062" priority="1162" operator="containsText" text="祝">
      <formula>NOT(ISERROR(SEARCH("祝",J89)))</formula>
    </cfRule>
    <cfRule type="containsText" dxfId="1061" priority="1163" operator="containsText" text="祝">
      <formula>NOT(ISERROR(SEARCH("祝",J89)))</formula>
    </cfRule>
    <cfRule type="containsText" dxfId="1060" priority="1164" operator="containsText" text="祝">
      <formula>NOT(ISERROR(SEARCH("祝",J89)))</formula>
    </cfRule>
    <cfRule type="containsText" dxfId="1059" priority="1165" operator="containsText" text="祝">
      <formula>NOT(ISERROR(SEARCH("祝",J89)))</formula>
    </cfRule>
    <cfRule type="containsText" dxfId="1058" priority="1166" operator="containsText" text="盆">
      <formula>NOT(ISERROR(SEARCH("盆",J89)))</formula>
    </cfRule>
  </conditionalFormatting>
  <conditionalFormatting sqref="K89">
    <cfRule type="containsText" dxfId="1057" priority="1151" operator="containsText" text="正">
      <formula>NOT(ISERROR(SEARCH("正",K89)))</formula>
    </cfRule>
    <cfRule type="containsText" dxfId="1056" priority="1152" operator="containsText" text="Ｇ">
      <formula>NOT(ISERROR(SEARCH("Ｇ",K89)))</formula>
    </cfRule>
    <cfRule type="containsText" dxfId="1055" priority="1153" operator="containsText" text="祝">
      <formula>NOT(ISERROR(SEARCH("祝",K89)))</formula>
    </cfRule>
    <cfRule type="containsText" dxfId="1054" priority="1154" operator="containsText" text="祝">
      <formula>NOT(ISERROR(SEARCH("祝",K89)))</formula>
    </cfRule>
    <cfRule type="containsText" dxfId="1053" priority="1155" operator="containsText" text="祝">
      <formula>NOT(ISERROR(SEARCH("祝",K89)))</formula>
    </cfRule>
    <cfRule type="containsText" dxfId="1052" priority="1156" operator="containsText" text="祝">
      <formula>NOT(ISERROR(SEARCH("祝",K89)))</formula>
    </cfRule>
    <cfRule type="containsText" dxfId="1051" priority="1157" operator="containsText" text="祝">
      <formula>NOT(ISERROR(SEARCH("祝",K89)))</formula>
    </cfRule>
    <cfRule type="containsText" dxfId="1050" priority="1158" operator="containsText" text="盆">
      <formula>NOT(ISERROR(SEARCH("盆",K89)))</formula>
    </cfRule>
  </conditionalFormatting>
  <conditionalFormatting sqref="Q89">
    <cfRule type="containsText" dxfId="1049" priority="1143" operator="containsText" text="正">
      <formula>NOT(ISERROR(SEARCH("正",Q89)))</formula>
    </cfRule>
    <cfRule type="containsText" dxfId="1048" priority="1144" operator="containsText" text="Ｇ">
      <formula>NOT(ISERROR(SEARCH("Ｇ",Q89)))</formula>
    </cfRule>
    <cfRule type="containsText" dxfId="1047" priority="1145" operator="containsText" text="祝">
      <formula>NOT(ISERROR(SEARCH("祝",Q89)))</formula>
    </cfRule>
    <cfRule type="containsText" dxfId="1046" priority="1146" operator="containsText" text="祝">
      <formula>NOT(ISERROR(SEARCH("祝",Q89)))</formula>
    </cfRule>
    <cfRule type="containsText" dxfId="1045" priority="1147" operator="containsText" text="祝">
      <formula>NOT(ISERROR(SEARCH("祝",Q89)))</formula>
    </cfRule>
    <cfRule type="containsText" dxfId="1044" priority="1148" operator="containsText" text="祝">
      <formula>NOT(ISERROR(SEARCH("祝",Q89)))</formula>
    </cfRule>
    <cfRule type="containsText" dxfId="1043" priority="1149" operator="containsText" text="祝">
      <formula>NOT(ISERROR(SEARCH("祝",Q89)))</formula>
    </cfRule>
    <cfRule type="containsText" dxfId="1042" priority="1150" operator="containsText" text="盆">
      <formula>NOT(ISERROR(SEARCH("盆",Q89)))</formula>
    </cfRule>
  </conditionalFormatting>
  <conditionalFormatting sqref="R89">
    <cfRule type="containsText" dxfId="1041" priority="1135" operator="containsText" text="正">
      <formula>NOT(ISERROR(SEARCH("正",R89)))</formula>
    </cfRule>
    <cfRule type="containsText" dxfId="1040" priority="1136" operator="containsText" text="Ｇ">
      <formula>NOT(ISERROR(SEARCH("Ｇ",R89)))</formula>
    </cfRule>
    <cfRule type="containsText" dxfId="1039" priority="1137" operator="containsText" text="祝">
      <formula>NOT(ISERROR(SEARCH("祝",R89)))</formula>
    </cfRule>
    <cfRule type="containsText" dxfId="1038" priority="1138" operator="containsText" text="祝">
      <formula>NOT(ISERROR(SEARCH("祝",R89)))</formula>
    </cfRule>
    <cfRule type="containsText" dxfId="1037" priority="1139" operator="containsText" text="祝">
      <formula>NOT(ISERROR(SEARCH("祝",R89)))</formula>
    </cfRule>
    <cfRule type="containsText" dxfId="1036" priority="1140" operator="containsText" text="祝">
      <formula>NOT(ISERROR(SEARCH("祝",R89)))</formula>
    </cfRule>
    <cfRule type="containsText" dxfId="1035" priority="1141" operator="containsText" text="祝">
      <formula>NOT(ISERROR(SEARCH("祝",R89)))</formula>
    </cfRule>
    <cfRule type="containsText" dxfId="1034" priority="1142" operator="containsText" text="盆">
      <formula>NOT(ISERROR(SEARCH("盆",R89)))</formula>
    </cfRule>
  </conditionalFormatting>
  <conditionalFormatting sqref="X89">
    <cfRule type="containsText" dxfId="1033" priority="1127" operator="containsText" text="正">
      <formula>NOT(ISERROR(SEARCH("正",X89)))</formula>
    </cfRule>
    <cfRule type="containsText" dxfId="1032" priority="1128" operator="containsText" text="Ｇ">
      <formula>NOT(ISERROR(SEARCH("Ｇ",X89)))</formula>
    </cfRule>
    <cfRule type="containsText" dxfId="1031" priority="1129" operator="containsText" text="祝">
      <formula>NOT(ISERROR(SEARCH("祝",X89)))</formula>
    </cfRule>
    <cfRule type="containsText" dxfId="1030" priority="1130" operator="containsText" text="祝">
      <formula>NOT(ISERROR(SEARCH("祝",X89)))</formula>
    </cfRule>
    <cfRule type="containsText" dxfId="1029" priority="1131" operator="containsText" text="祝">
      <formula>NOT(ISERROR(SEARCH("祝",X89)))</formula>
    </cfRule>
    <cfRule type="containsText" dxfId="1028" priority="1132" operator="containsText" text="祝">
      <formula>NOT(ISERROR(SEARCH("祝",X89)))</formula>
    </cfRule>
    <cfRule type="containsText" dxfId="1027" priority="1133" operator="containsText" text="祝">
      <formula>NOT(ISERROR(SEARCH("祝",X89)))</formula>
    </cfRule>
    <cfRule type="containsText" dxfId="1026" priority="1134" operator="containsText" text="盆">
      <formula>NOT(ISERROR(SEARCH("盆",X89)))</formula>
    </cfRule>
  </conditionalFormatting>
  <conditionalFormatting sqref="Y89">
    <cfRule type="containsText" dxfId="1025" priority="1119" operator="containsText" text="正">
      <formula>NOT(ISERROR(SEARCH("正",Y89)))</formula>
    </cfRule>
    <cfRule type="containsText" dxfId="1024" priority="1120" operator="containsText" text="Ｇ">
      <formula>NOT(ISERROR(SEARCH("Ｇ",Y89)))</formula>
    </cfRule>
    <cfRule type="containsText" dxfId="1023" priority="1121" operator="containsText" text="祝">
      <formula>NOT(ISERROR(SEARCH("祝",Y89)))</formula>
    </cfRule>
    <cfRule type="containsText" dxfId="1022" priority="1122" operator="containsText" text="祝">
      <formula>NOT(ISERROR(SEARCH("祝",Y89)))</formula>
    </cfRule>
    <cfRule type="containsText" dxfId="1021" priority="1123" operator="containsText" text="祝">
      <formula>NOT(ISERROR(SEARCH("祝",Y89)))</formula>
    </cfRule>
    <cfRule type="containsText" dxfId="1020" priority="1124" operator="containsText" text="祝">
      <formula>NOT(ISERROR(SEARCH("祝",Y89)))</formula>
    </cfRule>
    <cfRule type="containsText" dxfId="1019" priority="1125" operator="containsText" text="祝">
      <formula>NOT(ISERROR(SEARCH("祝",Y89)))</formula>
    </cfRule>
    <cfRule type="containsText" dxfId="1018" priority="1126" operator="containsText" text="盆">
      <formula>NOT(ISERROR(SEARCH("盆",Y89)))</formula>
    </cfRule>
  </conditionalFormatting>
  <conditionalFormatting sqref="H95:I95 L95:P95 S95:W95 Z95:AD95">
    <cfRule type="containsText" dxfId="1017" priority="1087" operator="containsText" text="正">
      <formula>NOT(ISERROR(SEARCH("正",H95)))</formula>
    </cfRule>
    <cfRule type="containsText" dxfId="1016" priority="1088" operator="containsText" text="Ｇ">
      <formula>NOT(ISERROR(SEARCH("Ｇ",H95)))</formula>
    </cfRule>
    <cfRule type="containsText" dxfId="1015" priority="1089" operator="containsText" text="祝">
      <formula>NOT(ISERROR(SEARCH("祝",H95)))</formula>
    </cfRule>
    <cfRule type="containsText" dxfId="1014" priority="1090" operator="containsText" text="祝">
      <formula>NOT(ISERROR(SEARCH("祝",H95)))</formula>
    </cfRule>
    <cfRule type="containsText" dxfId="1013" priority="1091" operator="containsText" text="祝">
      <formula>NOT(ISERROR(SEARCH("祝",H95)))</formula>
    </cfRule>
    <cfRule type="containsText" dxfId="1012" priority="1092" operator="containsText" text="祝">
      <formula>NOT(ISERROR(SEARCH("祝",H95)))</formula>
    </cfRule>
    <cfRule type="containsText" dxfId="1011" priority="1093" operator="containsText" text="祝">
      <formula>NOT(ISERROR(SEARCH("祝",H95)))</formula>
    </cfRule>
    <cfRule type="containsText" dxfId="1010" priority="1094" operator="containsText" text="盆">
      <formula>NOT(ISERROR(SEARCH("盆",H95)))</formula>
    </cfRule>
  </conditionalFormatting>
  <conditionalFormatting sqref="E95">
    <cfRule type="containsText" dxfId="1009" priority="1111" operator="containsText" text="正">
      <formula>NOT(ISERROR(SEARCH("正",E95)))</formula>
    </cfRule>
    <cfRule type="containsText" dxfId="1008" priority="1112" operator="containsText" text="Ｇ">
      <formula>NOT(ISERROR(SEARCH("Ｇ",E95)))</formula>
    </cfRule>
    <cfRule type="containsText" dxfId="1007" priority="1113" operator="containsText" text="祝">
      <formula>NOT(ISERROR(SEARCH("祝",E95)))</formula>
    </cfRule>
    <cfRule type="containsText" dxfId="1006" priority="1114" operator="containsText" text="祝">
      <formula>NOT(ISERROR(SEARCH("祝",E95)))</formula>
    </cfRule>
    <cfRule type="containsText" dxfId="1005" priority="1115" operator="containsText" text="祝">
      <formula>NOT(ISERROR(SEARCH("祝",E95)))</formula>
    </cfRule>
    <cfRule type="containsText" dxfId="1004" priority="1116" operator="containsText" text="祝">
      <formula>NOT(ISERROR(SEARCH("祝",E95)))</formula>
    </cfRule>
    <cfRule type="containsText" dxfId="1003" priority="1117" operator="containsText" text="祝">
      <formula>NOT(ISERROR(SEARCH("祝",E95)))</formula>
    </cfRule>
    <cfRule type="containsText" dxfId="1002" priority="1118" operator="containsText" text="盆">
      <formula>NOT(ISERROR(SEARCH("盆",E95)))</formula>
    </cfRule>
  </conditionalFormatting>
  <conditionalFormatting sqref="F95">
    <cfRule type="containsText" dxfId="1001" priority="1103" operator="containsText" text="正">
      <formula>NOT(ISERROR(SEARCH("正",F95)))</formula>
    </cfRule>
    <cfRule type="containsText" dxfId="1000" priority="1104" operator="containsText" text="Ｇ">
      <formula>NOT(ISERROR(SEARCH("Ｇ",F95)))</formula>
    </cfRule>
    <cfRule type="containsText" dxfId="999" priority="1105" operator="containsText" text="祝">
      <formula>NOT(ISERROR(SEARCH("祝",F95)))</formula>
    </cfRule>
    <cfRule type="containsText" dxfId="998" priority="1106" operator="containsText" text="祝">
      <formula>NOT(ISERROR(SEARCH("祝",F95)))</formula>
    </cfRule>
    <cfRule type="containsText" dxfId="997" priority="1107" operator="containsText" text="祝">
      <formula>NOT(ISERROR(SEARCH("祝",F95)))</formula>
    </cfRule>
    <cfRule type="containsText" dxfId="996" priority="1108" operator="containsText" text="祝">
      <formula>NOT(ISERROR(SEARCH("祝",F95)))</formula>
    </cfRule>
    <cfRule type="containsText" dxfId="995" priority="1109" operator="containsText" text="祝">
      <formula>NOT(ISERROR(SEARCH("祝",F95)))</formula>
    </cfRule>
    <cfRule type="containsText" dxfId="994" priority="1110" operator="containsText" text="盆">
      <formula>NOT(ISERROR(SEARCH("盆",F95)))</formula>
    </cfRule>
  </conditionalFormatting>
  <conditionalFormatting sqref="G95">
    <cfRule type="containsText" dxfId="993" priority="1095" operator="containsText" text="正">
      <formula>NOT(ISERROR(SEARCH("正",G95)))</formula>
    </cfRule>
    <cfRule type="containsText" dxfId="992" priority="1096" operator="containsText" text="Ｇ">
      <formula>NOT(ISERROR(SEARCH("Ｇ",G95)))</formula>
    </cfRule>
    <cfRule type="containsText" dxfId="991" priority="1097" operator="containsText" text="祝">
      <formula>NOT(ISERROR(SEARCH("祝",G95)))</formula>
    </cfRule>
    <cfRule type="containsText" dxfId="990" priority="1098" operator="containsText" text="祝">
      <formula>NOT(ISERROR(SEARCH("祝",G95)))</formula>
    </cfRule>
    <cfRule type="containsText" dxfId="989" priority="1099" operator="containsText" text="祝">
      <formula>NOT(ISERROR(SEARCH("祝",G95)))</formula>
    </cfRule>
    <cfRule type="containsText" dxfId="988" priority="1100" operator="containsText" text="祝">
      <formula>NOT(ISERROR(SEARCH("祝",G95)))</formula>
    </cfRule>
    <cfRule type="containsText" dxfId="987" priority="1101" operator="containsText" text="祝">
      <formula>NOT(ISERROR(SEARCH("祝",G95)))</formula>
    </cfRule>
    <cfRule type="containsText" dxfId="986" priority="1102" operator="containsText" text="盆">
      <formula>NOT(ISERROR(SEARCH("盆",G95)))</formula>
    </cfRule>
  </conditionalFormatting>
  <conditionalFormatting sqref="C95">
    <cfRule type="containsText" dxfId="985" priority="1079" operator="containsText" text="正">
      <formula>NOT(ISERROR(SEARCH("正",C95)))</formula>
    </cfRule>
    <cfRule type="containsText" dxfId="984" priority="1080" operator="containsText" text="Ｇ">
      <formula>NOT(ISERROR(SEARCH("Ｇ",C95)))</formula>
    </cfRule>
    <cfRule type="containsText" dxfId="983" priority="1081" operator="containsText" text="祝">
      <formula>NOT(ISERROR(SEARCH("祝",C95)))</formula>
    </cfRule>
    <cfRule type="containsText" dxfId="982" priority="1082" operator="containsText" text="祝">
      <formula>NOT(ISERROR(SEARCH("祝",C95)))</formula>
    </cfRule>
    <cfRule type="containsText" dxfId="981" priority="1083" operator="containsText" text="祝">
      <formula>NOT(ISERROR(SEARCH("祝",C95)))</formula>
    </cfRule>
    <cfRule type="containsText" dxfId="980" priority="1084" operator="containsText" text="祝">
      <formula>NOT(ISERROR(SEARCH("祝",C95)))</formula>
    </cfRule>
    <cfRule type="containsText" dxfId="979" priority="1085" operator="containsText" text="祝">
      <formula>NOT(ISERROR(SEARCH("祝",C95)))</formula>
    </cfRule>
    <cfRule type="containsText" dxfId="978" priority="1086" operator="containsText" text="盆">
      <formula>NOT(ISERROR(SEARCH("盆",C95)))</formula>
    </cfRule>
  </conditionalFormatting>
  <conditionalFormatting sqref="D95">
    <cfRule type="containsText" dxfId="977" priority="1071" operator="containsText" text="正">
      <formula>NOT(ISERROR(SEARCH("正",D95)))</formula>
    </cfRule>
    <cfRule type="containsText" dxfId="976" priority="1072" operator="containsText" text="Ｇ">
      <formula>NOT(ISERROR(SEARCH("Ｇ",D95)))</formula>
    </cfRule>
    <cfRule type="containsText" dxfId="975" priority="1073" operator="containsText" text="祝">
      <formula>NOT(ISERROR(SEARCH("祝",D95)))</formula>
    </cfRule>
    <cfRule type="containsText" dxfId="974" priority="1074" operator="containsText" text="祝">
      <formula>NOT(ISERROR(SEARCH("祝",D95)))</formula>
    </cfRule>
    <cfRule type="containsText" dxfId="973" priority="1075" operator="containsText" text="祝">
      <formula>NOT(ISERROR(SEARCH("祝",D95)))</formula>
    </cfRule>
    <cfRule type="containsText" dxfId="972" priority="1076" operator="containsText" text="祝">
      <formula>NOT(ISERROR(SEARCH("祝",D95)))</formula>
    </cfRule>
    <cfRule type="containsText" dxfId="971" priority="1077" operator="containsText" text="祝">
      <formula>NOT(ISERROR(SEARCH("祝",D95)))</formula>
    </cfRule>
    <cfRule type="containsText" dxfId="970" priority="1078" operator="containsText" text="盆">
      <formula>NOT(ISERROR(SEARCH("盆",D95)))</formula>
    </cfRule>
  </conditionalFormatting>
  <conditionalFormatting sqref="J95">
    <cfRule type="containsText" dxfId="969" priority="1063" operator="containsText" text="正">
      <formula>NOT(ISERROR(SEARCH("正",J95)))</formula>
    </cfRule>
    <cfRule type="containsText" dxfId="968" priority="1064" operator="containsText" text="Ｇ">
      <formula>NOT(ISERROR(SEARCH("Ｇ",J95)))</formula>
    </cfRule>
    <cfRule type="containsText" dxfId="967" priority="1065" operator="containsText" text="祝">
      <formula>NOT(ISERROR(SEARCH("祝",J95)))</formula>
    </cfRule>
    <cfRule type="containsText" dxfId="966" priority="1066" operator="containsText" text="祝">
      <formula>NOT(ISERROR(SEARCH("祝",J95)))</formula>
    </cfRule>
    <cfRule type="containsText" dxfId="965" priority="1067" operator="containsText" text="祝">
      <formula>NOT(ISERROR(SEARCH("祝",J95)))</formula>
    </cfRule>
    <cfRule type="containsText" dxfId="964" priority="1068" operator="containsText" text="祝">
      <formula>NOT(ISERROR(SEARCH("祝",J95)))</formula>
    </cfRule>
    <cfRule type="containsText" dxfId="963" priority="1069" operator="containsText" text="祝">
      <formula>NOT(ISERROR(SEARCH("祝",J95)))</formula>
    </cfRule>
    <cfRule type="containsText" dxfId="962" priority="1070" operator="containsText" text="盆">
      <formula>NOT(ISERROR(SEARCH("盆",J95)))</formula>
    </cfRule>
  </conditionalFormatting>
  <conditionalFormatting sqref="K95">
    <cfRule type="containsText" dxfId="961" priority="1055" operator="containsText" text="正">
      <formula>NOT(ISERROR(SEARCH("正",K95)))</formula>
    </cfRule>
    <cfRule type="containsText" dxfId="960" priority="1056" operator="containsText" text="Ｇ">
      <formula>NOT(ISERROR(SEARCH("Ｇ",K95)))</formula>
    </cfRule>
    <cfRule type="containsText" dxfId="959" priority="1057" operator="containsText" text="祝">
      <formula>NOT(ISERROR(SEARCH("祝",K95)))</formula>
    </cfRule>
    <cfRule type="containsText" dxfId="958" priority="1058" operator="containsText" text="祝">
      <formula>NOT(ISERROR(SEARCH("祝",K95)))</formula>
    </cfRule>
    <cfRule type="containsText" dxfId="957" priority="1059" operator="containsText" text="祝">
      <formula>NOT(ISERROR(SEARCH("祝",K95)))</formula>
    </cfRule>
    <cfRule type="containsText" dxfId="956" priority="1060" operator="containsText" text="祝">
      <formula>NOT(ISERROR(SEARCH("祝",K95)))</formula>
    </cfRule>
    <cfRule type="containsText" dxfId="955" priority="1061" operator="containsText" text="祝">
      <formula>NOT(ISERROR(SEARCH("祝",K95)))</formula>
    </cfRule>
    <cfRule type="containsText" dxfId="954" priority="1062" operator="containsText" text="盆">
      <formula>NOT(ISERROR(SEARCH("盆",K95)))</formula>
    </cfRule>
  </conditionalFormatting>
  <conditionalFormatting sqref="Q95">
    <cfRule type="containsText" dxfId="953" priority="1047" operator="containsText" text="正">
      <formula>NOT(ISERROR(SEARCH("正",Q95)))</formula>
    </cfRule>
    <cfRule type="containsText" dxfId="952" priority="1048" operator="containsText" text="Ｇ">
      <formula>NOT(ISERROR(SEARCH("Ｇ",Q95)))</formula>
    </cfRule>
    <cfRule type="containsText" dxfId="951" priority="1049" operator="containsText" text="祝">
      <formula>NOT(ISERROR(SEARCH("祝",Q95)))</formula>
    </cfRule>
    <cfRule type="containsText" dxfId="950" priority="1050" operator="containsText" text="祝">
      <formula>NOT(ISERROR(SEARCH("祝",Q95)))</formula>
    </cfRule>
    <cfRule type="containsText" dxfId="949" priority="1051" operator="containsText" text="祝">
      <formula>NOT(ISERROR(SEARCH("祝",Q95)))</formula>
    </cfRule>
    <cfRule type="containsText" dxfId="948" priority="1052" operator="containsText" text="祝">
      <formula>NOT(ISERROR(SEARCH("祝",Q95)))</formula>
    </cfRule>
    <cfRule type="containsText" dxfId="947" priority="1053" operator="containsText" text="祝">
      <formula>NOT(ISERROR(SEARCH("祝",Q95)))</formula>
    </cfRule>
    <cfRule type="containsText" dxfId="946" priority="1054" operator="containsText" text="盆">
      <formula>NOT(ISERROR(SEARCH("盆",Q95)))</formula>
    </cfRule>
  </conditionalFormatting>
  <conditionalFormatting sqref="R95">
    <cfRule type="containsText" dxfId="945" priority="1039" operator="containsText" text="正">
      <formula>NOT(ISERROR(SEARCH("正",R95)))</formula>
    </cfRule>
    <cfRule type="containsText" dxfId="944" priority="1040" operator="containsText" text="Ｇ">
      <formula>NOT(ISERROR(SEARCH("Ｇ",R95)))</formula>
    </cfRule>
    <cfRule type="containsText" dxfId="943" priority="1041" operator="containsText" text="祝">
      <formula>NOT(ISERROR(SEARCH("祝",R95)))</formula>
    </cfRule>
    <cfRule type="containsText" dxfId="942" priority="1042" operator="containsText" text="祝">
      <formula>NOT(ISERROR(SEARCH("祝",R95)))</formula>
    </cfRule>
    <cfRule type="containsText" dxfId="941" priority="1043" operator="containsText" text="祝">
      <formula>NOT(ISERROR(SEARCH("祝",R95)))</formula>
    </cfRule>
    <cfRule type="containsText" dxfId="940" priority="1044" operator="containsText" text="祝">
      <formula>NOT(ISERROR(SEARCH("祝",R95)))</formula>
    </cfRule>
    <cfRule type="containsText" dxfId="939" priority="1045" operator="containsText" text="祝">
      <formula>NOT(ISERROR(SEARCH("祝",R95)))</formula>
    </cfRule>
    <cfRule type="containsText" dxfId="938" priority="1046" operator="containsText" text="盆">
      <formula>NOT(ISERROR(SEARCH("盆",R95)))</formula>
    </cfRule>
  </conditionalFormatting>
  <conditionalFormatting sqref="X95">
    <cfRule type="containsText" dxfId="937" priority="1031" operator="containsText" text="正">
      <formula>NOT(ISERROR(SEARCH("正",X95)))</formula>
    </cfRule>
    <cfRule type="containsText" dxfId="936" priority="1032" operator="containsText" text="Ｇ">
      <formula>NOT(ISERROR(SEARCH("Ｇ",X95)))</formula>
    </cfRule>
    <cfRule type="containsText" dxfId="935" priority="1033" operator="containsText" text="祝">
      <formula>NOT(ISERROR(SEARCH("祝",X95)))</formula>
    </cfRule>
    <cfRule type="containsText" dxfId="934" priority="1034" operator="containsText" text="祝">
      <formula>NOT(ISERROR(SEARCH("祝",X95)))</formula>
    </cfRule>
    <cfRule type="containsText" dxfId="933" priority="1035" operator="containsText" text="祝">
      <formula>NOT(ISERROR(SEARCH("祝",X95)))</formula>
    </cfRule>
    <cfRule type="containsText" dxfId="932" priority="1036" operator="containsText" text="祝">
      <formula>NOT(ISERROR(SEARCH("祝",X95)))</formula>
    </cfRule>
    <cfRule type="containsText" dxfId="931" priority="1037" operator="containsText" text="祝">
      <formula>NOT(ISERROR(SEARCH("祝",X95)))</formula>
    </cfRule>
    <cfRule type="containsText" dxfId="930" priority="1038" operator="containsText" text="盆">
      <formula>NOT(ISERROR(SEARCH("盆",X95)))</formula>
    </cfRule>
  </conditionalFormatting>
  <conditionalFormatting sqref="Y95">
    <cfRule type="containsText" dxfId="929" priority="1023" operator="containsText" text="正">
      <formula>NOT(ISERROR(SEARCH("正",Y95)))</formula>
    </cfRule>
    <cfRule type="containsText" dxfId="928" priority="1024" operator="containsText" text="Ｇ">
      <formula>NOT(ISERROR(SEARCH("Ｇ",Y95)))</formula>
    </cfRule>
    <cfRule type="containsText" dxfId="927" priority="1025" operator="containsText" text="祝">
      <formula>NOT(ISERROR(SEARCH("祝",Y95)))</formula>
    </cfRule>
    <cfRule type="containsText" dxfId="926" priority="1026" operator="containsText" text="祝">
      <formula>NOT(ISERROR(SEARCH("祝",Y95)))</formula>
    </cfRule>
    <cfRule type="containsText" dxfId="925" priority="1027" operator="containsText" text="祝">
      <formula>NOT(ISERROR(SEARCH("祝",Y95)))</formula>
    </cfRule>
    <cfRule type="containsText" dxfId="924" priority="1028" operator="containsText" text="祝">
      <formula>NOT(ISERROR(SEARCH("祝",Y95)))</formula>
    </cfRule>
    <cfRule type="containsText" dxfId="923" priority="1029" operator="containsText" text="祝">
      <formula>NOT(ISERROR(SEARCH("祝",Y95)))</formula>
    </cfRule>
    <cfRule type="containsText" dxfId="922" priority="1030" operator="containsText" text="盆">
      <formula>NOT(ISERROR(SEARCH("盆",Y95)))</formula>
    </cfRule>
  </conditionalFormatting>
  <conditionalFormatting sqref="H101:I101 L101:P101 S101:W101 Z101:AD101">
    <cfRule type="containsText" dxfId="921" priority="991" operator="containsText" text="正">
      <formula>NOT(ISERROR(SEARCH("正",H101)))</formula>
    </cfRule>
    <cfRule type="containsText" dxfId="920" priority="992" operator="containsText" text="Ｇ">
      <formula>NOT(ISERROR(SEARCH("Ｇ",H101)))</formula>
    </cfRule>
    <cfRule type="containsText" dxfId="919" priority="993" operator="containsText" text="祝">
      <formula>NOT(ISERROR(SEARCH("祝",H101)))</formula>
    </cfRule>
    <cfRule type="containsText" dxfId="918" priority="994" operator="containsText" text="祝">
      <formula>NOT(ISERROR(SEARCH("祝",H101)))</formula>
    </cfRule>
    <cfRule type="containsText" dxfId="917" priority="995" operator="containsText" text="祝">
      <formula>NOT(ISERROR(SEARCH("祝",H101)))</formula>
    </cfRule>
    <cfRule type="containsText" dxfId="916" priority="996" operator="containsText" text="祝">
      <formula>NOT(ISERROR(SEARCH("祝",H101)))</formula>
    </cfRule>
    <cfRule type="containsText" dxfId="915" priority="997" operator="containsText" text="祝">
      <formula>NOT(ISERROR(SEARCH("祝",H101)))</formula>
    </cfRule>
    <cfRule type="containsText" dxfId="914" priority="998" operator="containsText" text="盆">
      <formula>NOT(ISERROR(SEARCH("盆",H101)))</formula>
    </cfRule>
  </conditionalFormatting>
  <conditionalFormatting sqref="E101">
    <cfRule type="containsText" dxfId="913" priority="1015" operator="containsText" text="正">
      <formula>NOT(ISERROR(SEARCH("正",E101)))</formula>
    </cfRule>
    <cfRule type="containsText" dxfId="912" priority="1016" operator="containsText" text="Ｇ">
      <formula>NOT(ISERROR(SEARCH("Ｇ",E101)))</formula>
    </cfRule>
    <cfRule type="containsText" dxfId="911" priority="1017" operator="containsText" text="祝">
      <formula>NOT(ISERROR(SEARCH("祝",E101)))</formula>
    </cfRule>
    <cfRule type="containsText" dxfId="910" priority="1018" operator="containsText" text="祝">
      <formula>NOT(ISERROR(SEARCH("祝",E101)))</formula>
    </cfRule>
    <cfRule type="containsText" dxfId="909" priority="1019" operator="containsText" text="祝">
      <formula>NOT(ISERROR(SEARCH("祝",E101)))</formula>
    </cfRule>
    <cfRule type="containsText" dxfId="908" priority="1020" operator="containsText" text="祝">
      <formula>NOT(ISERROR(SEARCH("祝",E101)))</formula>
    </cfRule>
    <cfRule type="containsText" dxfId="907" priority="1021" operator="containsText" text="祝">
      <formula>NOT(ISERROR(SEARCH("祝",E101)))</formula>
    </cfRule>
    <cfRule type="containsText" dxfId="906" priority="1022" operator="containsText" text="盆">
      <formula>NOT(ISERROR(SEARCH("盆",E101)))</formula>
    </cfRule>
  </conditionalFormatting>
  <conditionalFormatting sqref="F101">
    <cfRule type="containsText" dxfId="905" priority="1007" operator="containsText" text="正">
      <formula>NOT(ISERROR(SEARCH("正",F101)))</formula>
    </cfRule>
    <cfRule type="containsText" dxfId="904" priority="1008" operator="containsText" text="Ｇ">
      <formula>NOT(ISERROR(SEARCH("Ｇ",F101)))</formula>
    </cfRule>
    <cfRule type="containsText" dxfId="903" priority="1009" operator="containsText" text="祝">
      <formula>NOT(ISERROR(SEARCH("祝",F101)))</formula>
    </cfRule>
    <cfRule type="containsText" dxfId="902" priority="1010" operator="containsText" text="祝">
      <formula>NOT(ISERROR(SEARCH("祝",F101)))</formula>
    </cfRule>
    <cfRule type="containsText" dxfId="901" priority="1011" operator="containsText" text="祝">
      <formula>NOT(ISERROR(SEARCH("祝",F101)))</formula>
    </cfRule>
    <cfRule type="containsText" dxfId="900" priority="1012" operator="containsText" text="祝">
      <formula>NOT(ISERROR(SEARCH("祝",F101)))</formula>
    </cfRule>
    <cfRule type="containsText" dxfId="899" priority="1013" operator="containsText" text="祝">
      <formula>NOT(ISERROR(SEARCH("祝",F101)))</formula>
    </cfRule>
    <cfRule type="containsText" dxfId="898" priority="1014" operator="containsText" text="盆">
      <formula>NOT(ISERROR(SEARCH("盆",F101)))</formula>
    </cfRule>
  </conditionalFormatting>
  <conditionalFormatting sqref="G101">
    <cfRule type="containsText" dxfId="897" priority="999" operator="containsText" text="正">
      <formula>NOT(ISERROR(SEARCH("正",G101)))</formula>
    </cfRule>
    <cfRule type="containsText" dxfId="896" priority="1000" operator="containsText" text="Ｇ">
      <formula>NOT(ISERROR(SEARCH("Ｇ",G101)))</formula>
    </cfRule>
    <cfRule type="containsText" dxfId="895" priority="1001" operator="containsText" text="祝">
      <formula>NOT(ISERROR(SEARCH("祝",G101)))</formula>
    </cfRule>
    <cfRule type="containsText" dxfId="894" priority="1002" operator="containsText" text="祝">
      <formula>NOT(ISERROR(SEARCH("祝",G101)))</formula>
    </cfRule>
    <cfRule type="containsText" dxfId="893" priority="1003" operator="containsText" text="祝">
      <formula>NOT(ISERROR(SEARCH("祝",G101)))</formula>
    </cfRule>
    <cfRule type="containsText" dxfId="892" priority="1004" operator="containsText" text="祝">
      <formula>NOT(ISERROR(SEARCH("祝",G101)))</formula>
    </cfRule>
    <cfRule type="containsText" dxfId="891" priority="1005" operator="containsText" text="祝">
      <formula>NOT(ISERROR(SEARCH("祝",G101)))</formula>
    </cfRule>
    <cfRule type="containsText" dxfId="890" priority="1006" operator="containsText" text="盆">
      <formula>NOT(ISERROR(SEARCH("盆",G101)))</formula>
    </cfRule>
  </conditionalFormatting>
  <conditionalFormatting sqref="C101">
    <cfRule type="containsText" dxfId="889" priority="983" operator="containsText" text="正">
      <formula>NOT(ISERROR(SEARCH("正",C101)))</formula>
    </cfRule>
    <cfRule type="containsText" dxfId="888" priority="984" operator="containsText" text="Ｇ">
      <formula>NOT(ISERROR(SEARCH("Ｇ",C101)))</formula>
    </cfRule>
    <cfRule type="containsText" dxfId="887" priority="985" operator="containsText" text="祝">
      <formula>NOT(ISERROR(SEARCH("祝",C101)))</formula>
    </cfRule>
    <cfRule type="containsText" dxfId="886" priority="986" operator="containsText" text="祝">
      <formula>NOT(ISERROR(SEARCH("祝",C101)))</formula>
    </cfRule>
    <cfRule type="containsText" dxfId="885" priority="987" operator="containsText" text="祝">
      <formula>NOT(ISERROR(SEARCH("祝",C101)))</formula>
    </cfRule>
    <cfRule type="containsText" dxfId="884" priority="988" operator="containsText" text="祝">
      <formula>NOT(ISERROR(SEARCH("祝",C101)))</formula>
    </cfRule>
    <cfRule type="containsText" dxfId="883" priority="989" operator="containsText" text="祝">
      <formula>NOT(ISERROR(SEARCH("祝",C101)))</formula>
    </cfRule>
    <cfRule type="containsText" dxfId="882" priority="990" operator="containsText" text="盆">
      <formula>NOT(ISERROR(SEARCH("盆",C101)))</formula>
    </cfRule>
  </conditionalFormatting>
  <conditionalFormatting sqref="D101">
    <cfRule type="containsText" dxfId="881" priority="975" operator="containsText" text="正">
      <formula>NOT(ISERROR(SEARCH("正",D101)))</formula>
    </cfRule>
    <cfRule type="containsText" dxfId="880" priority="976" operator="containsText" text="Ｇ">
      <formula>NOT(ISERROR(SEARCH("Ｇ",D101)))</formula>
    </cfRule>
    <cfRule type="containsText" dxfId="879" priority="977" operator="containsText" text="祝">
      <formula>NOT(ISERROR(SEARCH("祝",D101)))</formula>
    </cfRule>
    <cfRule type="containsText" dxfId="878" priority="978" operator="containsText" text="祝">
      <formula>NOT(ISERROR(SEARCH("祝",D101)))</formula>
    </cfRule>
    <cfRule type="containsText" dxfId="877" priority="979" operator="containsText" text="祝">
      <formula>NOT(ISERROR(SEARCH("祝",D101)))</formula>
    </cfRule>
    <cfRule type="containsText" dxfId="876" priority="980" operator="containsText" text="祝">
      <formula>NOT(ISERROR(SEARCH("祝",D101)))</formula>
    </cfRule>
    <cfRule type="containsText" dxfId="875" priority="981" operator="containsText" text="祝">
      <formula>NOT(ISERROR(SEARCH("祝",D101)))</formula>
    </cfRule>
    <cfRule type="containsText" dxfId="874" priority="982" operator="containsText" text="盆">
      <formula>NOT(ISERROR(SEARCH("盆",D101)))</formula>
    </cfRule>
  </conditionalFormatting>
  <conditionalFormatting sqref="J101">
    <cfRule type="containsText" dxfId="873" priority="967" operator="containsText" text="正">
      <formula>NOT(ISERROR(SEARCH("正",J101)))</formula>
    </cfRule>
    <cfRule type="containsText" dxfId="872" priority="968" operator="containsText" text="Ｇ">
      <formula>NOT(ISERROR(SEARCH("Ｇ",J101)))</formula>
    </cfRule>
    <cfRule type="containsText" dxfId="871" priority="969" operator="containsText" text="祝">
      <formula>NOT(ISERROR(SEARCH("祝",J101)))</formula>
    </cfRule>
    <cfRule type="containsText" dxfId="870" priority="970" operator="containsText" text="祝">
      <formula>NOT(ISERROR(SEARCH("祝",J101)))</formula>
    </cfRule>
    <cfRule type="containsText" dxfId="869" priority="971" operator="containsText" text="祝">
      <formula>NOT(ISERROR(SEARCH("祝",J101)))</formula>
    </cfRule>
    <cfRule type="containsText" dxfId="868" priority="972" operator="containsText" text="祝">
      <formula>NOT(ISERROR(SEARCH("祝",J101)))</formula>
    </cfRule>
    <cfRule type="containsText" dxfId="867" priority="973" operator="containsText" text="祝">
      <formula>NOT(ISERROR(SEARCH("祝",J101)))</formula>
    </cfRule>
    <cfRule type="containsText" dxfId="866" priority="974" operator="containsText" text="盆">
      <formula>NOT(ISERROR(SEARCH("盆",J101)))</formula>
    </cfRule>
  </conditionalFormatting>
  <conditionalFormatting sqref="K101">
    <cfRule type="containsText" dxfId="865" priority="959" operator="containsText" text="正">
      <formula>NOT(ISERROR(SEARCH("正",K101)))</formula>
    </cfRule>
    <cfRule type="containsText" dxfId="864" priority="960" operator="containsText" text="Ｇ">
      <formula>NOT(ISERROR(SEARCH("Ｇ",K101)))</formula>
    </cfRule>
    <cfRule type="containsText" dxfId="863" priority="961" operator="containsText" text="祝">
      <formula>NOT(ISERROR(SEARCH("祝",K101)))</formula>
    </cfRule>
    <cfRule type="containsText" dxfId="862" priority="962" operator="containsText" text="祝">
      <formula>NOT(ISERROR(SEARCH("祝",K101)))</formula>
    </cfRule>
    <cfRule type="containsText" dxfId="861" priority="963" operator="containsText" text="祝">
      <formula>NOT(ISERROR(SEARCH("祝",K101)))</formula>
    </cfRule>
    <cfRule type="containsText" dxfId="860" priority="964" operator="containsText" text="祝">
      <formula>NOT(ISERROR(SEARCH("祝",K101)))</formula>
    </cfRule>
    <cfRule type="containsText" dxfId="859" priority="965" operator="containsText" text="祝">
      <formula>NOT(ISERROR(SEARCH("祝",K101)))</formula>
    </cfRule>
    <cfRule type="containsText" dxfId="858" priority="966" operator="containsText" text="盆">
      <formula>NOT(ISERROR(SEARCH("盆",K101)))</formula>
    </cfRule>
  </conditionalFormatting>
  <conditionalFormatting sqref="Q101">
    <cfRule type="containsText" dxfId="857" priority="951" operator="containsText" text="正">
      <formula>NOT(ISERROR(SEARCH("正",Q101)))</formula>
    </cfRule>
    <cfRule type="containsText" dxfId="856" priority="952" operator="containsText" text="Ｇ">
      <formula>NOT(ISERROR(SEARCH("Ｇ",Q101)))</formula>
    </cfRule>
    <cfRule type="containsText" dxfId="855" priority="953" operator="containsText" text="祝">
      <formula>NOT(ISERROR(SEARCH("祝",Q101)))</formula>
    </cfRule>
    <cfRule type="containsText" dxfId="854" priority="954" operator="containsText" text="祝">
      <formula>NOT(ISERROR(SEARCH("祝",Q101)))</formula>
    </cfRule>
    <cfRule type="containsText" dxfId="853" priority="955" operator="containsText" text="祝">
      <formula>NOT(ISERROR(SEARCH("祝",Q101)))</formula>
    </cfRule>
    <cfRule type="containsText" dxfId="852" priority="956" operator="containsText" text="祝">
      <formula>NOT(ISERROR(SEARCH("祝",Q101)))</formula>
    </cfRule>
    <cfRule type="containsText" dxfId="851" priority="957" operator="containsText" text="祝">
      <formula>NOT(ISERROR(SEARCH("祝",Q101)))</formula>
    </cfRule>
    <cfRule type="containsText" dxfId="850" priority="958" operator="containsText" text="盆">
      <formula>NOT(ISERROR(SEARCH("盆",Q101)))</formula>
    </cfRule>
  </conditionalFormatting>
  <conditionalFormatting sqref="R101">
    <cfRule type="containsText" dxfId="849" priority="943" operator="containsText" text="正">
      <formula>NOT(ISERROR(SEARCH("正",R101)))</formula>
    </cfRule>
    <cfRule type="containsText" dxfId="848" priority="944" operator="containsText" text="Ｇ">
      <formula>NOT(ISERROR(SEARCH("Ｇ",R101)))</formula>
    </cfRule>
    <cfRule type="containsText" dxfId="847" priority="945" operator="containsText" text="祝">
      <formula>NOT(ISERROR(SEARCH("祝",R101)))</formula>
    </cfRule>
    <cfRule type="containsText" dxfId="846" priority="946" operator="containsText" text="祝">
      <formula>NOT(ISERROR(SEARCH("祝",R101)))</formula>
    </cfRule>
    <cfRule type="containsText" dxfId="845" priority="947" operator="containsText" text="祝">
      <formula>NOT(ISERROR(SEARCH("祝",R101)))</formula>
    </cfRule>
    <cfRule type="containsText" dxfId="844" priority="948" operator="containsText" text="祝">
      <formula>NOT(ISERROR(SEARCH("祝",R101)))</formula>
    </cfRule>
    <cfRule type="containsText" dxfId="843" priority="949" operator="containsText" text="祝">
      <formula>NOT(ISERROR(SEARCH("祝",R101)))</formula>
    </cfRule>
    <cfRule type="containsText" dxfId="842" priority="950" operator="containsText" text="盆">
      <formula>NOT(ISERROR(SEARCH("盆",R101)))</formula>
    </cfRule>
  </conditionalFormatting>
  <conditionalFormatting sqref="X101">
    <cfRule type="containsText" dxfId="841" priority="935" operator="containsText" text="正">
      <formula>NOT(ISERROR(SEARCH("正",X101)))</formula>
    </cfRule>
    <cfRule type="containsText" dxfId="840" priority="936" operator="containsText" text="Ｇ">
      <formula>NOT(ISERROR(SEARCH("Ｇ",X101)))</formula>
    </cfRule>
    <cfRule type="containsText" dxfId="839" priority="937" operator="containsText" text="祝">
      <formula>NOT(ISERROR(SEARCH("祝",X101)))</formula>
    </cfRule>
    <cfRule type="containsText" dxfId="838" priority="938" operator="containsText" text="祝">
      <formula>NOT(ISERROR(SEARCH("祝",X101)))</formula>
    </cfRule>
    <cfRule type="containsText" dxfId="837" priority="939" operator="containsText" text="祝">
      <formula>NOT(ISERROR(SEARCH("祝",X101)))</formula>
    </cfRule>
    <cfRule type="containsText" dxfId="836" priority="940" operator="containsText" text="祝">
      <formula>NOT(ISERROR(SEARCH("祝",X101)))</formula>
    </cfRule>
    <cfRule type="containsText" dxfId="835" priority="941" operator="containsText" text="祝">
      <formula>NOT(ISERROR(SEARCH("祝",X101)))</formula>
    </cfRule>
    <cfRule type="containsText" dxfId="834" priority="942" operator="containsText" text="盆">
      <formula>NOT(ISERROR(SEARCH("盆",X101)))</formula>
    </cfRule>
  </conditionalFormatting>
  <conditionalFormatting sqref="Y101">
    <cfRule type="containsText" dxfId="833" priority="927" operator="containsText" text="正">
      <formula>NOT(ISERROR(SEARCH("正",Y101)))</formula>
    </cfRule>
    <cfRule type="containsText" dxfId="832" priority="928" operator="containsText" text="Ｇ">
      <formula>NOT(ISERROR(SEARCH("Ｇ",Y101)))</formula>
    </cfRule>
    <cfRule type="containsText" dxfId="831" priority="929" operator="containsText" text="祝">
      <formula>NOT(ISERROR(SEARCH("祝",Y101)))</formula>
    </cfRule>
    <cfRule type="containsText" dxfId="830" priority="930" operator="containsText" text="祝">
      <formula>NOT(ISERROR(SEARCH("祝",Y101)))</formula>
    </cfRule>
    <cfRule type="containsText" dxfId="829" priority="931" operator="containsText" text="祝">
      <formula>NOT(ISERROR(SEARCH("祝",Y101)))</formula>
    </cfRule>
    <cfRule type="containsText" dxfId="828" priority="932" operator="containsText" text="祝">
      <formula>NOT(ISERROR(SEARCH("祝",Y101)))</formula>
    </cfRule>
    <cfRule type="containsText" dxfId="827" priority="933" operator="containsText" text="祝">
      <formula>NOT(ISERROR(SEARCH("祝",Y101)))</formula>
    </cfRule>
    <cfRule type="containsText" dxfId="826" priority="934" operator="containsText" text="盆">
      <formula>NOT(ISERROR(SEARCH("盆",Y101)))</formula>
    </cfRule>
  </conditionalFormatting>
  <conditionalFormatting sqref="H107:I107 L107:P107 S107:W107 Z107:AD107">
    <cfRule type="containsText" dxfId="825" priority="895" operator="containsText" text="正">
      <formula>NOT(ISERROR(SEARCH("正",H107)))</formula>
    </cfRule>
    <cfRule type="containsText" dxfId="824" priority="896" operator="containsText" text="Ｇ">
      <formula>NOT(ISERROR(SEARCH("Ｇ",H107)))</formula>
    </cfRule>
    <cfRule type="containsText" dxfId="823" priority="897" operator="containsText" text="祝">
      <formula>NOT(ISERROR(SEARCH("祝",H107)))</formula>
    </cfRule>
    <cfRule type="containsText" dxfId="822" priority="898" operator="containsText" text="祝">
      <formula>NOT(ISERROR(SEARCH("祝",H107)))</formula>
    </cfRule>
    <cfRule type="containsText" dxfId="821" priority="899" operator="containsText" text="祝">
      <formula>NOT(ISERROR(SEARCH("祝",H107)))</formula>
    </cfRule>
    <cfRule type="containsText" dxfId="820" priority="900" operator="containsText" text="祝">
      <formula>NOT(ISERROR(SEARCH("祝",H107)))</formula>
    </cfRule>
    <cfRule type="containsText" dxfId="819" priority="901" operator="containsText" text="祝">
      <formula>NOT(ISERROR(SEARCH("祝",H107)))</formula>
    </cfRule>
    <cfRule type="containsText" dxfId="818" priority="902" operator="containsText" text="盆">
      <formula>NOT(ISERROR(SEARCH("盆",H107)))</formula>
    </cfRule>
  </conditionalFormatting>
  <conditionalFormatting sqref="E107">
    <cfRule type="containsText" dxfId="817" priority="919" operator="containsText" text="正">
      <formula>NOT(ISERROR(SEARCH("正",E107)))</formula>
    </cfRule>
    <cfRule type="containsText" dxfId="816" priority="920" operator="containsText" text="Ｇ">
      <formula>NOT(ISERROR(SEARCH("Ｇ",E107)))</formula>
    </cfRule>
    <cfRule type="containsText" dxfId="815" priority="921" operator="containsText" text="祝">
      <formula>NOT(ISERROR(SEARCH("祝",E107)))</formula>
    </cfRule>
    <cfRule type="containsText" dxfId="814" priority="922" operator="containsText" text="祝">
      <formula>NOT(ISERROR(SEARCH("祝",E107)))</formula>
    </cfRule>
    <cfRule type="containsText" dxfId="813" priority="923" operator="containsText" text="祝">
      <formula>NOT(ISERROR(SEARCH("祝",E107)))</formula>
    </cfRule>
    <cfRule type="containsText" dxfId="812" priority="924" operator="containsText" text="祝">
      <formula>NOT(ISERROR(SEARCH("祝",E107)))</formula>
    </cfRule>
    <cfRule type="containsText" dxfId="811" priority="925" operator="containsText" text="祝">
      <formula>NOT(ISERROR(SEARCH("祝",E107)))</formula>
    </cfRule>
    <cfRule type="containsText" dxfId="810" priority="926" operator="containsText" text="盆">
      <formula>NOT(ISERROR(SEARCH("盆",E107)))</formula>
    </cfRule>
  </conditionalFormatting>
  <conditionalFormatting sqref="F107">
    <cfRule type="containsText" dxfId="809" priority="911" operator="containsText" text="正">
      <formula>NOT(ISERROR(SEARCH("正",F107)))</formula>
    </cfRule>
    <cfRule type="containsText" dxfId="808" priority="912" operator="containsText" text="Ｇ">
      <formula>NOT(ISERROR(SEARCH("Ｇ",F107)))</formula>
    </cfRule>
    <cfRule type="containsText" dxfId="807" priority="913" operator="containsText" text="祝">
      <formula>NOT(ISERROR(SEARCH("祝",F107)))</formula>
    </cfRule>
    <cfRule type="containsText" dxfId="806" priority="914" operator="containsText" text="祝">
      <formula>NOT(ISERROR(SEARCH("祝",F107)))</formula>
    </cfRule>
    <cfRule type="containsText" dxfId="805" priority="915" operator="containsText" text="祝">
      <formula>NOT(ISERROR(SEARCH("祝",F107)))</formula>
    </cfRule>
    <cfRule type="containsText" dxfId="804" priority="916" operator="containsText" text="祝">
      <formula>NOT(ISERROR(SEARCH("祝",F107)))</formula>
    </cfRule>
    <cfRule type="containsText" dxfId="803" priority="917" operator="containsText" text="祝">
      <formula>NOT(ISERROR(SEARCH("祝",F107)))</formula>
    </cfRule>
    <cfRule type="containsText" dxfId="802" priority="918" operator="containsText" text="盆">
      <formula>NOT(ISERROR(SEARCH("盆",F107)))</formula>
    </cfRule>
  </conditionalFormatting>
  <conditionalFormatting sqref="G107">
    <cfRule type="containsText" dxfId="801" priority="903" operator="containsText" text="正">
      <formula>NOT(ISERROR(SEARCH("正",G107)))</formula>
    </cfRule>
    <cfRule type="containsText" dxfId="800" priority="904" operator="containsText" text="Ｇ">
      <formula>NOT(ISERROR(SEARCH("Ｇ",G107)))</formula>
    </cfRule>
    <cfRule type="containsText" dxfId="799" priority="905" operator="containsText" text="祝">
      <formula>NOT(ISERROR(SEARCH("祝",G107)))</formula>
    </cfRule>
    <cfRule type="containsText" dxfId="798" priority="906" operator="containsText" text="祝">
      <formula>NOT(ISERROR(SEARCH("祝",G107)))</formula>
    </cfRule>
    <cfRule type="containsText" dxfId="797" priority="907" operator="containsText" text="祝">
      <formula>NOT(ISERROR(SEARCH("祝",G107)))</formula>
    </cfRule>
    <cfRule type="containsText" dxfId="796" priority="908" operator="containsText" text="祝">
      <formula>NOT(ISERROR(SEARCH("祝",G107)))</formula>
    </cfRule>
    <cfRule type="containsText" dxfId="795" priority="909" operator="containsText" text="祝">
      <formula>NOT(ISERROR(SEARCH("祝",G107)))</formula>
    </cfRule>
    <cfRule type="containsText" dxfId="794" priority="910" operator="containsText" text="盆">
      <formula>NOT(ISERROR(SEARCH("盆",G107)))</formula>
    </cfRule>
  </conditionalFormatting>
  <conditionalFormatting sqref="C107">
    <cfRule type="containsText" dxfId="793" priority="887" operator="containsText" text="正">
      <formula>NOT(ISERROR(SEARCH("正",C107)))</formula>
    </cfRule>
    <cfRule type="containsText" dxfId="792" priority="888" operator="containsText" text="Ｇ">
      <formula>NOT(ISERROR(SEARCH("Ｇ",C107)))</formula>
    </cfRule>
    <cfRule type="containsText" dxfId="791" priority="889" operator="containsText" text="祝">
      <formula>NOT(ISERROR(SEARCH("祝",C107)))</formula>
    </cfRule>
    <cfRule type="containsText" dxfId="790" priority="890" operator="containsText" text="祝">
      <formula>NOT(ISERROR(SEARCH("祝",C107)))</formula>
    </cfRule>
    <cfRule type="containsText" dxfId="789" priority="891" operator="containsText" text="祝">
      <formula>NOT(ISERROR(SEARCH("祝",C107)))</formula>
    </cfRule>
    <cfRule type="containsText" dxfId="788" priority="892" operator="containsText" text="祝">
      <formula>NOT(ISERROR(SEARCH("祝",C107)))</formula>
    </cfRule>
    <cfRule type="containsText" dxfId="787" priority="893" operator="containsText" text="祝">
      <formula>NOT(ISERROR(SEARCH("祝",C107)))</formula>
    </cfRule>
    <cfRule type="containsText" dxfId="786" priority="894" operator="containsText" text="盆">
      <formula>NOT(ISERROR(SEARCH("盆",C107)))</formula>
    </cfRule>
  </conditionalFormatting>
  <conditionalFormatting sqref="D107">
    <cfRule type="containsText" dxfId="785" priority="879" operator="containsText" text="正">
      <formula>NOT(ISERROR(SEARCH("正",D107)))</formula>
    </cfRule>
    <cfRule type="containsText" dxfId="784" priority="880" operator="containsText" text="Ｇ">
      <formula>NOT(ISERROR(SEARCH("Ｇ",D107)))</formula>
    </cfRule>
    <cfRule type="containsText" dxfId="783" priority="881" operator="containsText" text="祝">
      <formula>NOT(ISERROR(SEARCH("祝",D107)))</formula>
    </cfRule>
    <cfRule type="containsText" dxfId="782" priority="882" operator="containsText" text="祝">
      <formula>NOT(ISERROR(SEARCH("祝",D107)))</formula>
    </cfRule>
    <cfRule type="containsText" dxfId="781" priority="883" operator="containsText" text="祝">
      <formula>NOT(ISERROR(SEARCH("祝",D107)))</formula>
    </cfRule>
    <cfRule type="containsText" dxfId="780" priority="884" operator="containsText" text="祝">
      <formula>NOT(ISERROR(SEARCH("祝",D107)))</formula>
    </cfRule>
    <cfRule type="containsText" dxfId="779" priority="885" operator="containsText" text="祝">
      <formula>NOT(ISERROR(SEARCH("祝",D107)))</formula>
    </cfRule>
    <cfRule type="containsText" dxfId="778" priority="886" operator="containsText" text="盆">
      <formula>NOT(ISERROR(SEARCH("盆",D107)))</formula>
    </cfRule>
  </conditionalFormatting>
  <conditionalFormatting sqref="J107">
    <cfRule type="containsText" dxfId="777" priority="871" operator="containsText" text="正">
      <formula>NOT(ISERROR(SEARCH("正",J107)))</formula>
    </cfRule>
    <cfRule type="containsText" dxfId="776" priority="872" operator="containsText" text="Ｇ">
      <formula>NOT(ISERROR(SEARCH("Ｇ",J107)))</formula>
    </cfRule>
    <cfRule type="containsText" dxfId="775" priority="873" operator="containsText" text="祝">
      <formula>NOT(ISERROR(SEARCH("祝",J107)))</formula>
    </cfRule>
    <cfRule type="containsText" dxfId="774" priority="874" operator="containsText" text="祝">
      <formula>NOT(ISERROR(SEARCH("祝",J107)))</formula>
    </cfRule>
    <cfRule type="containsText" dxfId="773" priority="875" operator="containsText" text="祝">
      <formula>NOT(ISERROR(SEARCH("祝",J107)))</formula>
    </cfRule>
    <cfRule type="containsText" dxfId="772" priority="876" operator="containsText" text="祝">
      <formula>NOT(ISERROR(SEARCH("祝",J107)))</formula>
    </cfRule>
    <cfRule type="containsText" dxfId="771" priority="877" operator="containsText" text="祝">
      <formula>NOT(ISERROR(SEARCH("祝",J107)))</formula>
    </cfRule>
    <cfRule type="containsText" dxfId="770" priority="878" operator="containsText" text="盆">
      <formula>NOT(ISERROR(SEARCH("盆",J107)))</formula>
    </cfRule>
  </conditionalFormatting>
  <conditionalFormatting sqref="K107">
    <cfRule type="containsText" dxfId="769" priority="863" operator="containsText" text="正">
      <formula>NOT(ISERROR(SEARCH("正",K107)))</formula>
    </cfRule>
    <cfRule type="containsText" dxfId="768" priority="864" operator="containsText" text="Ｇ">
      <formula>NOT(ISERROR(SEARCH("Ｇ",K107)))</formula>
    </cfRule>
    <cfRule type="containsText" dxfId="767" priority="865" operator="containsText" text="祝">
      <formula>NOT(ISERROR(SEARCH("祝",K107)))</formula>
    </cfRule>
    <cfRule type="containsText" dxfId="766" priority="866" operator="containsText" text="祝">
      <formula>NOT(ISERROR(SEARCH("祝",K107)))</formula>
    </cfRule>
    <cfRule type="containsText" dxfId="765" priority="867" operator="containsText" text="祝">
      <formula>NOT(ISERROR(SEARCH("祝",K107)))</formula>
    </cfRule>
    <cfRule type="containsText" dxfId="764" priority="868" operator="containsText" text="祝">
      <formula>NOT(ISERROR(SEARCH("祝",K107)))</formula>
    </cfRule>
    <cfRule type="containsText" dxfId="763" priority="869" operator="containsText" text="祝">
      <formula>NOT(ISERROR(SEARCH("祝",K107)))</formula>
    </cfRule>
    <cfRule type="containsText" dxfId="762" priority="870" operator="containsText" text="盆">
      <formula>NOT(ISERROR(SEARCH("盆",K107)))</formula>
    </cfRule>
  </conditionalFormatting>
  <conditionalFormatting sqref="Q107">
    <cfRule type="containsText" dxfId="761" priority="855" operator="containsText" text="正">
      <formula>NOT(ISERROR(SEARCH("正",Q107)))</formula>
    </cfRule>
    <cfRule type="containsText" dxfId="760" priority="856" operator="containsText" text="Ｇ">
      <formula>NOT(ISERROR(SEARCH("Ｇ",Q107)))</formula>
    </cfRule>
    <cfRule type="containsText" dxfId="759" priority="857" operator="containsText" text="祝">
      <formula>NOT(ISERROR(SEARCH("祝",Q107)))</formula>
    </cfRule>
    <cfRule type="containsText" dxfId="758" priority="858" operator="containsText" text="祝">
      <formula>NOT(ISERROR(SEARCH("祝",Q107)))</formula>
    </cfRule>
    <cfRule type="containsText" dxfId="757" priority="859" operator="containsText" text="祝">
      <formula>NOT(ISERROR(SEARCH("祝",Q107)))</formula>
    </cfRule>
    <cfRule type="containsText" dxfId="756" priority="860" operator="containsText" text="祝">
      <formula>NOT(ISERROR(SEARCH("祝",Q107)))</formula>
    </cfRule>
    <cfRule type="containsText" dxfId="755" priority="861" operator="containsText" text="祝">
      <formula>NOT(ISERROR(SEARCH("祝",Q107)))</formula>
    </cfRule>
    <cfRule type="containsText" dxfId="754" priority="862" operator="containsText" text="盆">
      <formula>NOT(ISERROR(SEARCH("盆",Q107)))</formula>
    </cfRule>
  </conditionalFormatting>
  <conditionalFormatting sqref="R107">
    <cfRule type="containsText" dxfId="753" priority="847" operator="containsText" text="正">
      <formula>NOT(ISERROR(SEARCH("正",R107)))</formula>
    </cfRule>
    <cfRule type="containsText" dxfId="752" priority="848" operator="containsText" text="Ｇ">
      <formula>NOT(ISERROR(SEARCH("Ｇ",R107)))</formula>
    </cfRule>
    <cfRule type="containsText" dxfId="751" priority="849" operator="containsText" text="祝">
      <formula>NOT(ISERROR(SEARCH("祝",R107)))</formula>
    </cfRule>
    <cfRule type="containsText" dxfId="750" priority="850" operator="containsText" text="祝">
      <formula>NOT(ISERROR(SEARCH("祝",R107)))</formula>
    </cfRule>
    <cfRule type="containsText" dxfId="749" priority="851" operator="containsText" text="祝">
      <formula>NOT(ISERROR(SEARCH("祝",R107)))</formula>
    </cfRule>
    <cfRule type="containsText" dxfId="748" priority="852" operator="containsText" text="祝">
      <formula>NOT(ISERROR(SEARCH("祝",R107)))</formula>
    </cfRule>
    <cfRule type="containsText" dxfId="747" priority="853" operator="containsText" text="祝">
      <formula>NOT(ISERROR(SEARCH("祝",R107)))</formula>
    </cfRule>
    <cfRule type="containsText" dxfId="746" priority="854" operator="containsText" text="盆">
      <formula>NOT(ISERROR(SEARCH("盆",R107)))</formula>
    </cfRule>
  </conditionalFormatting>
  <conditionalFormatting sqref="X107">
    <cfRule type="containsText" dxfId="745" priority="839" operator="containsText" text="正">
      <formula>NOT(ISERROR(SEARCH("正",X107)))</formula>
    </cfRule>
    <cfRule type="containsText" dxfId="744" priority="840" operator="containsText" text="Ｇ">
      <formula>NOT(ISERROR(SEARCH("Ｇ",X107)))</formula>
    </cfRule>
    <cfRule type="containsText" dxfId="743" priority="841" operator="containsText" text="祝">
      <formula>NOT(ISERROR(SEARCH("祝",X107)))</formula>
    </cfRule>
    <cfRule type="containsText" dxfId="742" priority="842" operator="containsText" text="祝">
      <formula>NOT(ISERROR(SEARCH("祝",X107)))</formula>
    </cfRule>
    <cfRule type="containsText" dxfId="741" priority="843" operator="containsText" text="祝">
      <formula>NOT(ISERROR(SEARCH("祝",X107)))</formula>
    </cfRule>
    <cfRule type="containsText" dxfId="740" priority="844" operator="containsText" text="祝">
      <formula>NOT(ISERROR(SEARCH("祝",X107)))</formula>
    </cfRule>
    <cfRule type="containsText" dxfId="739" priority="845" operator="containsText" text="祝">
      <formula>NOT(ISERROR(SEARCH("祝",X107)))</formula>
    </cfRule>
    <cfRule type="containsText" dxfId="738" priority="846" operator="containsText" text="盆">
      <formula>NOT(ISERROR(SEARCH("盆",X107)))</formula>
    </cfRule>
  </conditionalFormatting>
  <conditionalFormatting sqref="Y107">
    <cfRule type="containsText" dxfId="737" priority="831" operator="containsText" text="正">
      <formula>NOT(ISERROR(SEARCH("正",Y107)))</formula>
    </cfRule>
    <cfRule type="containsText" dxfId="736" priority="832" operator="containsText" text="Ｇ">
      <formula>NOT(ISERROR(SEARCH("Ｇ",Y107)))</formula>
    </cfRule>
    <cfRule type="containsText" dxfId="735" priority="833" operator="containsText" text="祝">
      <formula>NOT(ISERROR(SEARCH("祝",Y107)))</formula>
    </cfRule>
    <cfRule type="containsText" dxfId="734" priority="834" operator="containsText" text="祝">
      <formula>NOT(ISERROR(SEARCH("祝",Y107)))</formula>
    </cfRule>
    <cfRule type="containsText" dxfId="733" priority="835" operator="containsText" text="祝">
      <formula>NOT(ISERROR(SEARCH("祝",Y107)))</formula>
    </cfRule>
    <cfRule type="containsText" dxfId="732" priority="836" operator="containsText" text="祝">
      <formula>NOT(ISERROR(SEARCH("祝",Y107)))</formula>
    </cfRule>
    <cfRule type="containsText" dxfId="731" priority="837" operator="containsText" text="祝">
      <formula>NOT(ISERROR(SEARCH("祝",Y107)))</formula>
    </cfRule>
    <cfRule type="containsText" dxfId="730" priority="838" operator="containsText" text="盆">
      <formula>NOT(ISERROR(SEARCH("盆",Y107)))</formula>
    </cfRule>
  </conditionalFormatting>
  <conditionalFormatting sqref="H113:I113 L113:P113 S113:W113 Z113:AD113">
    <cfRule type="containsText" dxfId="729" priority="799" operator="containsText" text="正">
      <formula>NOT(ISERROR(SEARCH("正",H113)))</formula>
    </cfRule>
    <cfRule type="containsText" dxfId="728" priority="800" operator="containsText" text="Ｇ">
      <formula>NOT(ISERROR(SEARCH("Ｇ",H113)))</formula>
    </cfRule>
    <cfRule type="containsText" dxfId="727" priority="801" operator="containsText" text="祝">
      <formula>NOT(ISERROR(SEARCH("祝",H113)))</formula>
    </cfRule>
    <cfRule type="containsText" dxfId="726" priority="802" operator="containsText" text="祝">
      <formula>NOT(ISERROR(SEARCH("祝",H113)))</formula>
    </cfRule>
    <cfRule type="containsText" dxfId="725" priority="803" operator="containsText" text="祝">
      <formula>NOT(ISERROR(SEARCH("祝",H113)))</formula>
    </cfRule>
    <cfRule type="containsText" dxfId="724" priority="804" operator="containsText" text="祝">
      <formula>NOT(ISERROR(SEARCH("祝",H113)))</formula>
    </cfRule>
    <cfRule type="containsText" dxfId="723" priority="805" operator="containsText" text="祝">
      <formula>NOT(ISERROR(SEARCH("祝",H113)))</formula>
    </cfRule>
    <cfRule type="containsText" dxfId="722" priority="806" operator="containsText" text="盆">
      <formula>NOT(ISERROR(SEARCH("盆",H113)))</formula>
    </cfRule>
  </conditionalFormatting>
  <conditionalFormatting sqref="E113">
    <cfRule type="containsText" dxfId="721" priority="823" operator="containsText" text="正">
      <formula>NOT(ISERROR(SEARCH("正",E113)))</formula>
    </cfRule>
    <cfRule type="containsText" dxfId="720" priority="824" operator="containsText" text="Ｇ">
      <formula>NOT(ISERROR(SEARCH("Ｇ",E113)))</formula>
    </cfRule>
    <cfRule type="containsText" dxfId="719" priority="825" operator="containsText" text="祝">
      <formula>NOT(ISERROR(SEARCH("祝",E113)))</formula>
    </cfRule>
    <cfRule type="containsText" dxfId="718" priority="826" operator="containsText" text="祝">
      <formula>NOT(ISERROR(SEARCH("祝",E113)))</formula>
    </cfRule>
    <cfRule type="containsText" dxfId="717" priority="827" operator="containsText" text="祝">
      <formula>NOT(ISERROR(SEARCH("祝",E113)))</formula>
    </cfRule>
    <cfRule type="containsText" dxfId="716" priority="828" operator="containsText" text="祝">
      <formula>NOT(ISERROR(SEARCH("祝",E113)))</formula>
    </cfRule>
    <cfRule type="containsText" dxfId="715" priority="829" operator="containsText" text="祝">
      <formula>NOT(ISERROR(SEARCH("祝",E113)))</formula>
    </cfRule>
    <cfRule type="containsText" dxfId="714" priority="830" operator="containsText" text="盆">
      <formula>NOT(ISERROR(SEARCH("盆",E113)))</formula>
    </cfRule>
  </conditionalFormatting>
  <conditionalFormatting sqref="F113">
    <cfRule type="containsText" dxfId="713" priority="815" operator="containsText" text="正">
      <formula>NOT(ISERROR(SEARCH("正",F113)))</formula>
    </cfRule>
    <cfRule type="containsText" dxfId="712" priority="816" operator="containsText" text="Ｇ">
      <formula>NOT(ISERROR(SEARCH("Ｇ",F113)))</formula>
    </cfRule>
    <cfRule type="containsText" dxfId="711" priority="817" operator="containsText" text="祝">
      <formula>NOT(ISERROR(SEARCH("祝",F113)))</formula>
    </cfRule>
    <cfRule type="containsText" dxfId="710" priority="818" operator="containsText" text="祝">
      <formula>NOT(ISERROR(SEARCH("祝",F113)))</formula>
    </cfRule>
    <cfRule type="containsText" dxfId="709" priority="819" operator="containsText" text="祝">
      <formula>NOT(ISERROR(SEARCH("祝",F113)))</formula>
    </cfRule>
    <cfRule type="containsText" dxfId="708" priority="820" operator="containsText" text="祝">
      <formula>NOT(ISERROR(SEARCH("祝",F113)))</formula>
    </cfRule>
    <cfRule type="containsText" dxfId="707" priority="821" operator="containsText" text="祝">
      <formula>NOT(ISERROR(SEARCH("祝",F113)))</formula>
    </cfRule>
    <cfRule type="containsText" dxfId="706" priority="822" operator="containsText" text="盆">
      <formula>NOT(ISERROR(SEARCH("盆",F113)))</formula>
    </cfRule>
  </conditionalFormatting>
  <conditionalFormatting sqref="G113">
    <cfRule type="containsText" dxfId="705" priority="807" operator="containsText" text="正">
      <formula>NOT(ISERROR(SEARCH("正",G113)))</formula>
    </cfRule>
    <cfRule type="containsText" dxfId="704" priority="808" operator="containsText" text="Ｇ">
      <formula>NOT(ISERROR(SEARCH("Ｇ",G113)))</formula>
    </cfRule>
    <cfRule type="containsText" dxfId="703" priority="809" operator="containsText" text="祝">
      <formula>NOT(ISERROR(SEARCH("祝",G113)))</formula>
    </cfRule>
    <cfRule type="containsText" dxfId="702" priority="810" operator="containsText" text="祝">
      <formula>NOT(ISERROR(SEARCH("祝",G113)))</formula>
    </cfRule>
    <cfRule type="containsText" dxfId="701" priority="811" operator="containsText" text="祝">
      <formula>NOT(ISERROR(SEARCH("祝",G113)))</formula>
    </cfRule>
    <cfRule type="containsText" dxfId="700" priority="812" operator="containsText" text="祝">
      <formula>NOT(ISERROR(SEARCH("祝",G113)))</formula>
    </cfRule>
    <cfRule type="containsText" dxfId="699" priority="813" operator="containsText" text="祝">
      <formula>NOT(ISERROR(SEARCH("祝",G113)))</formula>
    </cfRule>
    <cfRule type="containsText" dxfId="698" priority="814" operator="containsText" text="盆">
      <formula>NOT(ISERROR(SEARCH("盆",G113)))</formula>
    </cfRule>
  </conditionalFormatting>
  <conditionalFormatting sqref="C113">
    <cfRule type="containsText" dxfId="697" priority="791" operator="containsText" text="正">
      <formula>NOT(ISERROR(SEARCH("正",C113)))</formula>
    </cfRule>
    <cfRule type="containsText" dxfId="696" priority="792" operator="containsText" text="Ｇ">
      <formula>NOT(ISERROR(SEARCH("Ｇ",C113)))</formula>
    </cfRule>
    <cfRule type="containsText" dxfId="695" priority="793" operator="containsText" text="祝">
      <formula>NOT(ISERROR(SEARCH("祝",C113)))</formula>
    </cfRule>
    <cfRule type="containsText" dxfId="694" priority="794" operator="containsText" text="祝">
      <formula>NOT(ISERROR(SEARCH("祝",C113)))</formula>
    </cfRule>
    <cfRule type="containsText" dxfId="693" priority="795" operator="containsText" text="祝">
      <formula>NOT(ISERROR(SEARCH("祝",C113)))</formula>
    </cfRule>
    <cfRule type="containsText" dxfId="692" priority="796" operator="containsText" text="祝">
      <formula>NOT(ISERROR(SEARCH("祝",C113)))</formula>
    </cfRule>
    <cfRule type="containsText" dxfId="691" priority="797" operator="containsText" text="祝">
      <formula>NOT(ISERROR(SEARCH("祝",C113)))</formula>
    </cfRule>
    <cfRule type="containsText" dxfId="690" priority="798" operator="containsText" text="盆">
      <formula>NOT(ISERROR(SEARCH("盆",C113)))</formula>
    </cfRule>
  </conditionalFormatting>
  <conditionalFormatting sqref="D113">
    <cfRule type="containsText" dxfId="689" priority="783" operator="containsText" text="正">
      <formula>NOT(ISERROR(SEARCH("正",D113)))</formula>
    </cfRule>
    <cfRule type="containsText" dxfId="688" priority="784" operator="containsText" text="Ｇ">
      <formula>NOT(ISERROR(SEARCH("Ｇ",D113)))</formula>
    </cfRule>
    <cfRule type="containsText" dxfId="687" priority="785" operator="containsText" text="祝">
      <formula>NOT(ISERROR(SEARCH("祝",D113)))</formula>
    </cfRule>
    <cfRule type="containsText" dxfId="686" priority="786" operator="containsText" text="祝">
      <formula>NOT(ISERROR(SEARCH("祝",D113)))</formula>
    </cfRule>
    <cfRule type="containsText" dxfId="685" priority="787" operator="containsText" text="祝">
      <formula>NOT(ISERROR(SEARCH("祝",D113)))</formula>
    </cfRule>
    <cfRule type="containsText" dxfId="684" priority="788" operator="containsText" text="祝">
      <formula>NOT(ISERROR(SEARCH("祝",D113)))</formula>
    </cfRule>
    <cfRule type="containsText" dxfId="683" priority="789" operator="containsText" text="祝">
      <formula>NOT(ISERROR(SEARCH("祝",D113)))</formula>
    </cfRule>
    <cfRule type="containsText" dxfId="682" priority="790" operator="containsText" text="盆">
      <formula>NOT(ISERROR(SEARCH("盆",D113)))</formula>
    </cfRule>
  </conditionalFormatting>
  <conditionalFormatting sqref="J113">
    <cfRule type="containsText" dxfId="681" priority="775" operator="containsText" text="正">
      <formula>NOT(ISERROR(SEARCH("正",J113)))</formula>
    </cfRule>
    <cfRule type="containsText" dxfId="680" priority="776" operator="containsText" text="Ｇ">
      <formula>NOT(ISERROR(SEARCH("Ｇ",J113)))</formula>
    </cfRule>
    <cfRule type="containsText" dxfId="679" priority="777" operator="containsText" text="祝">
      <formula>NOT(ISERROR(SEARCH("祝",J113)))</formula>
    </cfRule>
    <cfRule type="containsText" dxfId="678" priority="778" operator="containsText" text="祝">
      <formula>NOT(ISERROR(SEARCH("祝",J113)))</formula>
    </cfRule>
    <cfRule type="containsText" dxfId="677" priority="779" operator="containsText" text="祝">
      <formula>NOT(ISERROR(SEARCH("祝",J113)))</formula>
    </cfRule>
    <cfRule type="containsText" dxfId="676" priority="780" operator="containsText" text="祝">
      <formula>NOT(ISERROR(SEARCH("祝",J113)))</formula>
    </cfRule>
    <cfRule type="containsText" dxfId="675" priority="781" operator="containsText" text="祝">
      <formula>NOT(ISERROR(SEARCH("祝",J113)))</formula>
    </cfRule>
    <cfRule type="containsText" dxfId="674" priority="782" operator="containsText" text="盆">
      <formula>NOT(ISERROR(SEARCH("盆",J113)))</formula>
    </cfRule>
  </conditionalFormatting>
  <conditionalFormatting sqref="K113">
    <cfRule type="containsText" dxfId="673" priority="767" operator="containsText" text="正">
      <formula>NOT(ISERROR(SEARCH("正",K113)))</formula>
    </cfRule>
    <cfRule type="containsText" dxfId="672" priority="768" operator="containsText" text="Ｇ">
      <formula>NOT(ISERROR(SEARCH("Ｇ",K113)))</formula>
    </cfRule>
    <cfRule type="containsText" dxfId="671" priority="769" operator="containsText" text="祝">
      <formula>NOT(ISERROR(SEARCH("祝",K113)))</formula>
    </cfRule>
    <cfRule type="containsText" dxfId="670" priority="770" operator="containsText" text="祝">
      <formula>NOT(ISERROR(SEARCH("祝",K113)))</formula>
    </cfRule>
    <cfRule type="containsText" dxfId="669" priority="771" operator="containsText" text="祝">
      <formula>NOT(ISERROR(SEARCH("祝",K113)))</formula>
    </cfRule>
    <cfRule type="containsText" dxfId="668" priority="772" operator="containsText" text="祝">
      <formula>NOT(ISERROR(SEARCH("祝",K113)))</formula>
    </cfRule>
    <cfRule type="containsText" dxfId="667" priority="773" operator="containsText" text="祝">
      <formula>NOT(ISERROR(SEARCH("祝",K113)))</formula>
    </cfRule>
    <cfRule type="containsText" dxfId="666" priority="774" operator="containsText" text="盆">
      <formula>NOT(ISERROR(SEARCH("盆",K113)))</formula>
    </cfRule>
  </conditionalFormatting>
  <conditionalFormatting sqref="Q113">
    <cfRule type="containsText" dxfId="665" priority="759" operator="containsText" text="正">
      <formula>NOT(ISERROR(SEARCH("正",Q113)))</formula>
    </cfRule>
    <cfRule type="containsText" dxfId="664" priority="760" operator="containsText" text="Ｇ">
      <formula>NOT(ISERROR(SEARCH("Ｇ",Q113)))</formula>
    </cfRule>
    <cfRule type="containsText" dxfId="663" priority="761" operator="containsText" text="祝">
      <formula>NOT(ISERROR(SEARCH("祝",Q113)))</formula>
    </cfRule>
    <cfRule type="containsText" dxfId="662" priority="762" operator="containsText" text="祝">
      <formula>NOT(ISERROR(SEARCH("祝",Q113)))</formula>
    </cfRule>
    <cfRule type="containsText" dxfId="661" priority="763" operator="containsText" text="祝">
      <formula>NOT(ISERROR(SEARCH("祝",Q113)))</formula>
    </cfRule>
    <cfRule type="containsText" dxfId="660" priority="764" operator="containsText" text="祝">
      <formula>NOT(ISERROR(SEARCH("祝",Q113)))</formula>
    </cfRule>
    <cfRule type="containsText" dxfId="659" priority="765" operator="containsText" text="祝">
      <formula>NOT(ISERROR(SEARCH("祝",Q113)))</formula>
    </cfRule>
    <cfRule type="containsText" dxfId="658" priority="766" operator="containsText" text="盆">
      <formula>NOT(ISERROR(SEARCH("盆",Q113)))</formula>
    </cfRule>
  </conditionalFormatting>
  <conditionalFormatting sqref="R113">
    <cfRule type="containsText" dxfId="657" priority="751" operator="containsText" text="正">
      <formula>NOT(ISERROR(SEARCH("正",R113)))</formula>
    </cfRule>
    <cfRule type="containsText" dxfId="656" priority="752" operator="containsText" text="Ｇ">
      <formula>NOT(ISERROR(SEARCH("Ｇ",R113)))</formula>
    </cfRule>
    <cfRule type="containsText" dxfId="655" priority="753" operator="containsText" text="祝">
      <formula>NOT(ISERROR(SEARCH("祝",R113)))</formula>
    </cfRule>
    <cfRule type="containsText" dxfId="654" priority="754" operator="containsText" text="祝">
      <formula>NOT(ISERROR(SEARCH("祝",R113)))</formula>
    </cfRule>
    <cfRule type="containsText" dxfId="653" priority="755" operator="containsText" text="祝">
      <formula>NOT(ISERROR(SEARCH("祝",R113)))</formula>
    </cfRule>
    <cfRule type="containsText" dxfId="652" priority="756" operator="containsText" text="祝">
      <formula>NOT(ISERROR(SEARCH("祝",R113)))</formula>
    </cfRule>
    <cfRule type="containsText" dxfId="651" priority="757" operator="containsText" text="祝">
      <formula>NOT(ISERROR(SEARCH("祝",R113)))</formula>
    </cfRule>
    <cfRule type="containsText" dxfId="650" priority="758" operator="containsText" text="盆">
      <formula>NOT(ISERROR(SEARCH("盆",R113)))</formula>
    </cfRule>
  </conditionalFormatting>
  <conditionalFormatting sqref="X113">
    <cfRule type="containsText" dxfId="649" priority="743" operator="containsText" text="正">
      <formula>NOT(ISERROR(SEARCH("正",X113)))</formula>
    </cfRule>
    <cfRule type="containsText" dxfId="648" priority="744" operator="containsText" text="Ｇ">
      <formula>NOT(ISERROR(SEARCH("Ｇ",X113)))</formula>
    </cfRule>
    <cfRule type="containsText" dxfId="647" priority="745" operator="containsText" text="祝">
      <formula>NOT(ISERROR(SEARCH("祝",X113)))</formula>
    </cfRule>
    <cfRule type="containsText" dxfId="646" priority="746" operator="containsText" text="祝">
      <formula>NOT(ISERROR(SEARCH("祝",X113)))</formula>
    </cfRule>
    <cfRule type="containsText" dxfId="645" priority="747" operator="containsText" text="祝">
      <formula>NOT(ISERROR(SEARCH("祝",X113)))</formula>
    </cfRule>
    <cfRule type="containsText" dxfId="644" priority="748" operator="containsText" text="祝">
      <formula>NOT(ISERROR(SEARCH("祝",X113)))</formula>
    </cfRule>
    <cfRule type="containsText" dxfId="643" priority="749" operator="containsText" text="祝">
      <formula>NOT(ISERROR(SEARCH("祝",X113)))</formula>
    </cfRule>
    <cfRule type="containsText" dxfId="642" priority="750" operator="containsText" text="盆">
      <formula>NOT(ISERROR(SEARCH("盆",X113)))</formula>
    </cfRule>
  </conditionalFormatting>
  <conditionalFormatting sqref="Y113">
    <cfRule type="containsText" dxfId="641" priority="735" operator="containsText" text="正">
      <formula>NOT(ISERROR(SEARCH("正",Y113)))</formula>
    </cfRule>
    <cfRule type="containsText" dxfId="640" priority="736" operator="containsText" text="Ｇ">
      <formula>NOT(ISERROR(SEARCH("Ｇ",Y113)))</formula>
    </cfRule>
    <cfRule type="containsText" dxfId="639" priority="737" operator="containsText" text="祝">
      <formula>NOT(ISERROR(SEARCH("祝",Y113)))</formula>
    </cfRule>
    <cfRule type="containsText" dxfId="638" priority="738" operator="containsText" text="祝">
      <formula>NOT(ISERROR(SEARCH("祝",Y113)))</formula>
    </cfRule>
    <cfRule type="containsText" dxfId="637" priority="739" operator="containsText" text="祝">
      <formula>NOT(ISERROR(SEARCH("祝",Y113)))</formula>
    </cfRule>
    <cfRule type="containsText" dxfId="636" priority="740" operator="containsText" text="祝">
      <formula>NOT(ISERROR(SEARCH("祝",Y113)))</formula>
    </cfRule>
    <cfRule type="containsText" dxfId="635" priority="741" operator="containsText" text="祝">
      <formula>NOT(ISERROR(SEARCH("祝",Y113)))</formula>
    </cfRule>
    <cfRule type="containsText" dxfId="634" priority="742" operator="containsText" text="盆">
      <formula>NOT(ISERROR(SEARCH("盆",Y113)))</formula>
    </cfRule>
  </conditionalFormatting>
  <conditionalFormatting sqref="H119:I119 L119:P119 S119:W119 Z119:AD119">
    <cfRule type="containsText" dxfId="633" priority="703" operator="containsText" text="正">
      <formula>NOT(ISERROR(SEARCH("正",H119)))</formula>
    </cfRule>
    <cfRule type="containsText" dxfId="632" priority="704" operator="containsText" text="Ｇ">
      <formula>NOT(ISERROR(SEARCH("Ｇ",H119)))</formula>
    </cfRule>
    <cfRule type="containsText" dxfId="631" priority="705" operator="containsText" text="祝">
      <formula>NOT(ISERROR(SEARCH("祝",H119)))</formula>
    </cfRule>
    <cfRule type="containsText" dxfId="630" priority="706" operator="containsText" text="祝">
      <formula>NOT(ISERROR(SEARCH("祝",H119)))</formula>
    </cfRule>
    <cfRule type="containsText" dxfId="629" priority="707" operator="containsText" text="祝">
      <formula>NOT(ISERROR(SEARCH("祝",H119)))</formula>
    </cfRule>
    <cfRule type="containsText" dxfId="628" priority="708" operator="containsText" text="祝">
      <formula>NOT(ISERROR(SEARCH("祝",H119)))</formula>
    </cfRule>
    <cfRule type="containsText" dxfId="627" priority="709" operator="containsText" text="祝">
      <formula>NOT(ISERROR(SEARCH("祝",H119)))</formula>
    </cfRule>
    <cfRule type="containsText" dxfId="626" priority="710" operator="containsText" text="盆">
      <formula>NOT(ISERROR(SEARCH("盆",H119)))</formula>
    </cfRule>
  </conditionalFormatting>
  <conditionalFormatting sqref="E119">
    <cfRule type="containsText" dxfId="625" priority="727" operator="containsText" text="正">
      <formula>NOT(ISERROR(SEARCH("正",E119)))</formula>
    </cfRule>
    <cfRule type="containsText" dxfId="624" priority="728" operator="containsText" text="Ｇ">
      <formula>NOT(ISERROR(SEARCH("Ｇ",E119)))</formula>
    </cfRule>
    <cfRule type="containsText" dxfId="623" priority="729" operator="containsText" text="祝">
      <formula>NOT(ISERROR(SEARCH("祝",E119)))</formula>
    </cfRule>
    <cfRule type="containsText" dxfId="622" priority="730" operator="containsText" text="祝">
      <formula>NOT(ISERROR(SEARCH("祝",E119)))</formula>
    </cfRule>
    <cfRule type="containsText" dxfId="621" priority="731" operator="containsText" text="祝">
      <formula>NOT(ISERROR(SEARCH("祝",E119)))</formula>
    </cfRule>
    <cfRule type="containsText" dxfId="620" priority="732" operator="containsText" text="祝">
      <formula>NOT(ISERROR(SEARCH("祝",E119)))</formula>
    </cfRule>
    <cfRule type="containsText" dxfId="619" priority="733" operator="containsText" text="祝">
      <formula>NOT(ISERROR(SEARCH("祝",E119)))</formula>
    </cfRule>
    <cfRule type="containsText" dxfId="618" priority="734" operator="containsText" text="盆">
      <formula>NOT(ISERROR(SEARCH("盆",E119)))</formula>
    </cfRule>
  </conditionalFormatting>
  <conditionalFormatting sqref="F119">
    <cfRule type="containsText" dxfId="617" priority="719" operator="containsText" text="正">
      <formula>NOT(ISERROR(SEARCH("正",F119)))</formula>
    </cfRule>
    <cfRule type="containsText" dxfId="616" priority="720" operator="containsText" text="Ｇ">
      <formula>NOT(ISERROR(SEARCH("Ｇ",F119)))</formula>
    </cfRule>
    <cfRule type="containsText" dxfId="615" priority="721" operator="containsText" text="祝">
      <formula>NOT(ISERROR(SEARCH("祝",F119)))</formula>
    </cfRule>
    <cfRule type="containsText" dxfId="614" priority="722" operator="containsText" text="祝">
      <formula>NOT(ISERROR(SEARCH("祝",F119)))</formula>
    </cfRule>
    <cfRule type="containsText" dxfId="613" priority="723" operator="containsText" text="祝">
      <formula>NOT(ISERROR(SEARCH("祝",F119)))</formula>
    </cfRule>
    <cfRule type="containsText" dxfId="612" priority="724" operator="containsText" text="祝">
      <formula>NOT(ISERROR(SEARCH("祝",F119)))</formula>
    </cfRule>
    <cfRule type="containsText" dxfId="611" priority="725" operator="containsText" text="祝">
      <formula>NOT(ISERROR(SEARCH("祝",F119)))</formula>
    </cfRule>
    <cfRule type="containsText" dxfId="610" priority="726" operator="containsText" text="盆">
      <formula>NOT(ISERROR(SEARCH("盆",F119)))</formula>
    </cfRule>
  </conditionalFormatting>
  <conditionalFormatting sqref="G119">
    <cfRule type="containsText" dxfId="609" priority="711" operator="containsText" text="正">
      <formula>NOT(ISERROR(SEARCH("正",G119)))</formula>
    </cfRule>
    <cfRule type="containsText" dxfId="608" priority="712" operator="containsText" text="Ｇ">
      <formula>NOT(ISERROR(SEARCH("Ｇ",G119)))</formula>
    </cfRule>
    <cfRule type="containsText" dxfId="607" priority="713" operator="containsText" text="祝">
      <formula>NOT(ISERROR(SEARCH("祝",G119)))</formula>
    </cfRule>
    <cfRule type="containsText" dxfId="606" priority="714" operator="containsText" text="祝">
      <formula>NOT(ISERROR(SEARCH("祝",G119)))</formula>
    </cfRule>
    <cfRule type="containsText" dxfId="605" priority="715" operator="containsText" text="祝">
      <formula>NOT(ISERROR(SEARCH("祝",G119)))</formula>
    </cfRule>
    <cfRule type="containsText" dxfId="604" priority="716" operator="containsText" text="祝">
      <formula>NOT(ISERROR(SEARCH("祝",G119)))</formula>
    </cfRule>
    <cfRule type="containsText" dxfId="603" priority="717" operator="containsText" text="祝">
      <formula>NOT(ISERROR(SEARCH("祝",G119)))</formula>
    </cfRule>
    <cfRule type="containsText" dxfId="602" priority="718" operator="containsText" text="盆">
      <formula>NOT(ISERROR(SEARCH("盆",G119)))</formula>
    </cfRule>
  </conditionalFormatting>
  <conditionalFormatting sqref="C119">
    <cfRule type="containsText" dxfId="601" priority="695" operator="containsText" text="正">
      <formula>NOT(ISERROR(SEARCH("正",C119)))</formula>
    </cfRule>
    <cfRule type="containsText" dxfId="600" priority="696" operator="containsText" text="Ｇ">
      <formula>NOT(ISERROR(SEARCH("Ｇ",C119)))</formula>
    </cfRule>
    <cfRule type="containsText" dxfId="599" priority="697" operator="containsText" text="祝">
      <formula>NOT(ISERROR(SEARCH("祝",C119)))</formula>
    </cfRule>
    <cfRule type="containsText" dxfId="598" priority="698" operator="containsText" text="祝">
      <formula>NOT(ISERROR(SEARCH("祝",C119)))</formula>
    </cfRule>
    <cfRule type="containsText" dxfId="597" priority="699" operator="containsText" text="祝">
      <formula>NOT(ISERROR(SEARCH("祝",C119)))</formula>
    </cfRule>
    <cfRule type="containsText" dxfId="596" priority="700" operator="containsText" text="祝">
      <formula>NOT(ISERROR(SEARCH("祝",C119)))</formula>
    </cfRule>
    <cfRule type="containsText" dxfId="595" priority="701" operator="containsText" text="祝">
      <formula>NOT(ISERROR(SEARCH("祝",C119)))</formula>
    </cfRule>
    <cfRule type="containsText" dxfId="594" priority="702" operator="containsText" text="盆">
      <formula>NOT(ISERROR(SEARCH("盆",C119)))</formula>
    </cfRule>
  </conditionalFormatting>
  <conditionalFormatting sqref="D119">
    <cfRule type="containsText" dxfId="593" priority="687" operator="containsText" text="正">
      <formula>NOT(ISERROR(SEARCH("正",D119)))</formula>
    </cfRule>
    <cfRule type="containsText" dxfId="592" priority="688" operator="containsText" text="Ｇ">
      <formula>NOT(ISERROR(SEARCH("Ｇ",D119)))</formula>
    </cfRule>
    <cfRule type="containsText" dxfId="591" priority="689" operator="containsText" text="祝">
      <formula>NOT(ISERROR(SEARCH("祝",D119)))</formula>
    </cfRule>
    <cfRule type="containsText" dxfId="590" priority="690" operator="containsText" text="祝">
      <formula>NOT(ISERROR(SEARCH("祝",D119)))</formula>
    </cfRule>
    <cfRule type="containsText" dxfId="589" priority="691" operator="containsText" text="祝">
      <formula>NOT(ISERROR(SEARCH("祝",D119)))</formula>
    </cfRule>
    <cfRule type="containsText" dxfId="588" priority="692" operator="containsText" text="祝">
      <formula>NOT(ISERROR(SEARCH("祝",D119)))</formula>
    </cfRule>
    <cfRule type="containsText" dxfId="587" priority="693" operator="containsText" text="祝">
      <formula>NOT(ISERROR(SEARCH("祝",D119)))</formula>
    </cfRule>
    <cfRule type="containsText" dxfId="586" priority="694" operator="containsText" text="盆">
      <formula>NOT(ISERROR(SEARCH("盆",D119)))</formula>
    </cfRule>
  </conditionalFormatting>
  <conditionalFormatting sqref="J119">
    <cfRule type="containsText" dxfId="585" priority="679" operator="containsText" text="正">
      <formula>NOT(ISERROR(SEARCH("正",J119)))</formula>
    </cfRule>
    <cfRule type="containsText" dxfId="584" priority="680" operator="containsText" text="Ｇ">
      <formula>NOT(ISERROR(SEARCH("Ｇ",J119)))</formula>
    </cfRule>
    <cfRule type="containsText" dxfId="583" priority="681" operator="containsText" text="祝">
      <formula>NOT(ISERROR(SEARCH("祝",J119)))</formula>
    </cfRule>
    <cfRule type="containsText" dxfId="582" priority="682" operator="containsText" text="祝">
      <formula>NOT(ISERROR(SEARCH("祝",J119)))</formula>
    </cfRule>
    <cfRule type="containsText" dxfId="581" priority="683" operator="containsText" text="祝">
      <formula>NOT(ISERROR(SEARCH("祝",J119)))</formula>
    </cfRule>
    <cfRule type="containsText" dxfId="580" priority="684" operator="containsText" text="祝">
      <formula>NOT(ISERROR(SEARCH("祝",J119)))</formula>
    </cfRule>
    <cfRule type="containsText" dxfId="579" priority="685" operator="containsText" text="祝">
      <formula>NOT(ISERROR(SEARCH("祝",J119)))</formula>
    </cfRule>
    <cfRule type="containsText" dxfId="578" priority="686" operator="containsText" text="盆">
      <formula>NOT(ISERROR(SEARCH("盆",J119)))</formula>
    </cfRule>
  </conditionalFormatting>
  <conditionalFormatting sqref="K119">
    <cfRule type="containsText" dxfId="577" priority="671" operator="containsText" text="正">
      <formula>NOT(ISERROR(SEARCH("正",K119)))</formula>
    </cfRule>
    <cfRule type="containsText" dxfId="576" priority="672" operator="containsText" text="Ｇ">
      <formula>NOT(ISERROR(SEARCH("Ｇ",K119)))</formula>
    </cfRule>
    <cfRule type="containsText" dxfId="575" priority="673" operator="containsText" text="祝">
      <formula>NOT(ISERROR(SEARCH("祝",K119)))</formula>
    </cfRule>
    <cfRule type="containsText" dxfId="574" priority="674" operator="containsText" text="祝">
      <formula>NOT(ISERROR(SEARCH("祝",K119)))</formula>
    </cfRule>
    <cfRule type="containsText" dxfId="573" priority="675" operator="containsText" text="祝">
      <formula>NOT(ISERROR(SEARCH("祝",K119)))</formula>
    </cfRule>
    <cfRule type="containsText" dxfId="572" priority="676" operator="containsText" text="祝">
      <formula>NOT(ISERROR(SEARCH("祝",K119)))</formula>
    </cfRule>
    <cfRule type="containsText" dxfId="571" priority="677" operator="containsText" text="祝">
      <formula>NOT(ISERROR(SEARCH("祝",K119)))</formula>
    </cfRule>
    <cfRule type="containsText" dxfId="570" priority="678" operator="containsText" text="盆">
      <formula>NOT(ISERROR(SEARCH("盆",K119)))</formula>
    </cfRule>
  </conditionalFormatting>
  <conditionalFormatting sqref="Q119">
    <cfRule type="containsText" dxfId="569" priority="663" operator="containsText" text="正">
      <formula>NOT(ISERROR(SEARCH("正",Q119)))</formula>
    </cfRule>
    <cfRule type="containsText" dxfId="568" priority="664" operator="containsText" text="Ｇ">
      <formula>NOT(ISERROR(SEARCH("Ｇ",Q119)))</formula>
    </cfRule>
    <cfRule type="containsText" dxfId="567" priority="665" operator="containsText" text="祝">
      <formula>NOT(ISERROR(SEARCH("祝",Q119)))</formula>
    </cfRule>
    <cfRule type="containsText" dxfId="566" priority="666" operator="containsText" text="祝">
      <formula>NOT(ISERROR(SEARCH("祝",Q119)))</formula>
    </cfRule>
    <cfRule type="containsText" dxfId="565" priority="667" operator="containsText" text="祝">
      <formula>NOT(ISERROR(SEARCH("祝",Q119)))</formula>
    </cfRule>
    <cfRule type="containsText" dxfId="564" priority="668" operator="containsText" text="祝">
      <formula>NOT(ISERROR(SEARCH("祝",Q119)))</formula>
    </cfRule>
    <cfRule type="containsText" dxfId="563" priority="669" operator="containsText" text="祝">
      <formula>NOT(ISERROR(SEARCH("祝",Q119)))</formula>
    </cfRule>
    <cfRule type="containsText" dxfId="562" priority="670" operator="containsText" text="盆">
      <formula>NOT(ISERROR(SEARCH("盆",Q119)))</formula>
    </cfRule>
  </conditionalFormatting>
  <conditionalFormatting sqref="R119">
    <cfRule type="containsText" dxfId="561" priority="655" operator="containsText" text="正">
      <formula>NOT(ISERROR(SEARCH("正",R119)))</formula>
    </cfRule>
    <cfRule type="containsText" dxfId="560" priority="656" operator="containsText" text="Ｇ">
      <formula>NOT(ISERROR(SEARCH("Ｇ",R119)))</formula>
    </cfRule>
    <cfRule type="containsText" dxfId="559" priority="657" operator="containsText" text="祝">
      <formula>NOT(ISERROR(SEARCH("祝",R119)))</formula>
    </cfRule>
    <cfRule type="containsText" dxfId="558" priority="658" operator="containsText" text="祝">
      <formula>NOT(ISERROR(SEARCH("祝",R119)))</formula>
    </cfRule>
    <cfRule type="containsText" dxfId="557" priority="659" operator="containsText" text="祝">
      <formula>NOT(ISERROR(SEARCH("祝",R119)))</formula>
    </cfRule>
    <cfRule type="containsText" dxfId="556" priority="660" operator="containsText" text="祝">
      <formula>NOT(ISERROR(SEARCH("祝",R119)))</formula>
    </cfRule>
    <cfRule type="containsText" dxfId="555" priority="661" operator="containsText" text="祝">
      <formula>NOT(ISERROR(SEARCH("祝",R119)))</formula>
    </cfRule>
    <cfRule type="containsText" dxfId="554" priority="662" operator="containsText" text="盆">
      <formula>NOT(ISERROR(SEARCH("盆",R119)))</formula>
    </cfRule>
  </conditionalFormatting>
  <conditionalFormatting sqref="X119">
    <cfRule type="containsText" dxfId="553" priority="647" operator="containsText" text="正">
      <formula>NOT(ISERROR(SEARCH("正",X119)))</formula>
    </cfRule>
    <cfRule type="containsText" dxfId="552" priority="648" operator="containsText" text="Ｇ">
      <formula>NOT(ISERROR(SEARCH("Ｇ",X119)))</formula>
    </cfRule>
    <cfRule type="containsText" dxfId="551" priority="649" operator="containsText" text="祝">
      <formula>NOT(ISERROR(SEARCH("祝",X119)))</formula>
    </cfRule>
    <cfRule type="containsText" dxfId="550" priority="650" operator="containsText" text="祝">
      <formula>NOT(ISERROR(SEARCH("祝",X119)))</formula>
    </cfRule>
    <cfRule type="containsText" dxfId="549" priority="651" operator="containsText" text="祝">
      <formula>NOT(ISERROR(SEARCH("祝",X119)))</formula>
    </cfRule>
    <cfRule type="containsText" dxfId="548" priority="652" operator="containsText" text="祝">
      <formula>NOT(ISERROR(SEARCH("祝",X119)))</formula>
    </cfRule>
    <cfRule type="containsText" dxfId="547" priority="653" operator="containsText" text="祝">
      <formula>NOT(ISERROR(SEARCH("祝",X119)))</formula>
    </cfRule>
    <cfRule type="containsText" dxfId="546" priority="654" operator="containsText" text="盆">
      <formula>NOT(ISERROR(SEARCH("盆",X119)))</formula>
    </cfRule>
  </conditionalFormatting>
  <conditionalFormatting sqref="Y119">
    <cfRule type="containsText" dxfId="545" priority="639" operator="containsText" text="正">
      <formula>NOT(ISERROR(SEARCH("正",Y119)))</formula>
    </cfRule>
    <cfRule type="containsText" dxfId="544" priority="640" operator="containsText" text="Ｇ">
      <formula>NOT(ISERROR(SEARCH("Ｇ",Y119)))</formula>
    </cfRule>
    <cfRule type="containsText" dxfId="543" priority="641" operator="containsText" text="祝">
      <formula>NOT(ISERROR(SEARCH("祝",Y119)))</formula>
    </cfRule>
    <cfRule type="containsText" dxfId="542" priority="642" operator="containsText" text="祝">
      <formula>NOT(ISERROR(SEARCH("祝",Y119)))</formula>
    </cfRule>
    <cfRule type="containsText" dxfId="541" priority="643" operator="containsText" text="祝">
      <formula>NOT(ISERROR(SEARCH("祝",Y119)))</formula>
    </cfRule>
    <cfRule type="containsText" dxfId="540" priority="644" operator="containsText" text="祝">
      <formula>NOT(ISERROR(SEARCH("祝",Y119)))</formula>
    </cfRule>
    <cfRule type="containsText" dxfId="539" priority="645" operator="containsText" text="祝">
      <formula>NOT(ISERROR(SEARCH("祝",Y119)))</formula>
    </cfRule>
    <cfRule type="containsText" dxfId="538" priority="646" operator="containsText" text="盆">
      <formula>NOT(ISERROR(SEARCH("盆",Y119)))</formula>
    </cfRule>
  </conditionalFormatting>
  <conditionalFormatting sqref="H125:I125 L125:P125 S125:W125 Z125:AD125">
    <cfRule type="containsText" dxfId="537" priority="607" operator="containsText" text="正">
      <formula>NOT(ISERROR(SEARCH("正",H125)))</formula>
    </cfRule>
    <cfRule type="containsText" dxfId="536" priority="608" operator="containsText" text="Ｇ">
      <formula>NOT(ISERROR(SEARCH("Ｇ",H125)))</formula>
    </cfRule>
    <cfRule type="containsText" dxfId="535" priority="609" operator="containsText" text="祝">
      <formula>NOT(ISERROR(SEARCH("祝",H125)))</formula>
    </cfRule>
    <cfRule type="containsText" dxfId="534" priority="610" operator="containsText" text="祝">
      <formula>NOT(ISERROR(SEARCH("祝",H125)))</formula>
    </cfRule>
    <cfRule type="containsText" dxfId="533" priority="611" operator="containsText" text="祝">
      <formula>NOT(ISERROR(SEARCH("祝",H125)))</formula>
    </cfRule>
    <cfRule type="containsText" dxfId="532" priority="612" operator="containsText" text="祝">
      <formula>NOT(ISERROR(SEARCH("祝",H125)))</formula>
    </cfRule>
    <cfRule type="containsText" dxfId="531" priority="613" operator="containsText" text="祝">
      <formula>NOT(ISERROR(SEARCH("祝",H125)))</formula>
    </cfRule>
    <cfRule type="containsText" dxfId="530" priority="614" operator="containsText" text="盆">
      <formula>NOT(ISERROR(SEARCH("盆",H125)))</formula>
    </cfRule>
  </conditionalFormatting>
  <conditionalFormatting sqref="E125">
    <cfRule type="containsText" dxfId="529" priority="631" operator="containsText" text="正">
      <formula>NOT(ISERROR(SEARCH("正",E125)))</formula>
    </cfRule>
    <cfRule type="containsText" dxfId="528" priority="632" operator="containsText" text="Ｇ">
      <formula>NOT(ISERROR(SEARCH("Ｇ",E125)))</formula>
    </cfRule>
    <cfRule type="containsText" dxfId="527" priority="633" operator="containsText" text="祝">
      <formula>NOT(ISERROR(SEARCH("祝",E125)))</formula>
    </cfRule>
    <cfRule type="containsText" dxfId="526" priority="634" operator="containsText" text="祝">
      <formula>NOT(ISERROR(SEARCH("祝",E125)))</formula>
    </cfRule>
    <cfRule type="containsText" dxfId="525" priority="635" operator="containsText" text="祝">
      <formula>NOT(ISERROR(SEARCH("祝",E125)))</formula>
    </cfRule>
    <cfRule type="containsText" dxfId="524" priority="636" operator="containsText" text="祝">
      <formula>NOT(ISERROR(SEARCH("祝",E125)))</formula>
    </cfRule>
    <cfRule type="containsText" dxfId="523" priority="637" operator="containsText" text="祝">
      <formula>NOT(ISERROR(SEARCH("祝",E125)))</formula>
    </cfRule>
    <cfRule type="containsText" dxfId="522" priority="638" operator="containsText" text="盆">
      <formula>NOT(ISERROR(SEARCH("盆",E125)))</formula>
    </cfRule>
  </conditionalFormatting>
  <conditionalFormatting sqref="F125">
    <cfRule type="containsText" dxfId="521" priority="623" operator="containsText" text="正">
      <formula>NOT(ISERROR(SEARCH("正",F125)))</formula>
    </cfRule>
    <cfRule type="containsText" dxfId="520" priority="624" operator="containsText" text="Ｇ">
      <formula>NOT(ISERROR(SEARCH("Ｇ",F125)))</formula>
    </cfRule>
    <cfRule type="containsText" dxfId="519" priority="625" operator="containsText" text="祝">
      <formula>NOT(ISERROR(SEARCH("祝",F125)))</formula>
    </cfRule>
    <cfRule type="containsText" dxfId="518" priority="626" operator="containsText" text="祝">
      <formula>NOT(ISERROR(SEARCH("祝",F125)))</formula>
    </cfRule>
    <cfRule type="containsText" dxfId="517" priority="627" operator="containsText" text="祝">
      <formula>NOT(ISERROR(SEARCH("祝",F125)))</formula>
    </cfRule>
    <cfRule type="containsText" dxfId="516" priority="628" operator="containsText" text="祝">
      <formula>NOT(ISERROR(SEARCH("祝",F125)))</formula>
    </cfRule>
    <cfRule type="containsText" dxfId="515" priority="629" operator="containsText" text="祝">
      <formula>NOT(ISERROR(SEARCH("祝",F125)))</formula>
    </cfRule>
    <cfRule type="containsText" dxfId="514" priority="630" operator="containsText" text="盆">
      <formula>NOT(ISERROR(SEARCH("盆",F125)))</formula>
    </cfRule>
  </conditionalFormatting>
  <conditionalFormatting sqref="G125">
    <cfRule type="containsText" dxfId="513" priority="615" operator="containsText" text="正">
      <formula>NOT(ISERROR(SEARCH("正",G125)))</formula>
    </cfRule>
    <cfRule type="containsText" dxfId="512" priority="616" operator="containsText" text="Ｇ">
      <formula>NOT(ISERROR(SEARCH("Ｇ",G125)))</formula>
    </cfRule>
    <cfRule type="containsText" dxfId="511" priority="617" operator="containsText" text="祝">
      <formula>NOT(ISERROR(SEARCH("祝",G125)))</formula>
    </cfRule>
    <cfRule type="containsText" dxfId="510" priority="618" operator="containsText" text="祝">
      <formula>NOT(ISERROR(SEARCH("祝",G125)))</formula>
    </cfRule>
    <cfRule type="containsText" dxfId="509" priority="619" operator="containsText" text="祝">
      <formula>NOT(ISERROR(SEARCH("祝",G125)))</formula>
    </cfRule>
    <cfRule type="containsText" dxfId="508" priority="620" operator="containsText" text="祝">
      <formula>NOT(ISERROR(SEARCH("祝",G125)))</formula>
    </cfRule>
    <cfRule type="containsText" dxfId="507" priority="621" operator="containsText" text="祝">
      <formula>NOT(ISERROR(SEARCH("祝",G125)))</formula>
    </cfRule>
    <cfRule type="containsText" dxfId="506" priority="622" operator="containsText" text="盆">
      <formula>NOT(ISERROR(SEARCH("盆",G125)))</formula>
    </cfRule>
  </conditionalFormatting>
  <conditionalFormatting sqref="C125">
    <cfRule type="containsText" dxfId="505" priority="599" operator="containsText" text="正">
      <formula>NOT(ISERROR(SEARCH("正",C125)))</formula>
    </cfRule>
    <cfRule type="containsText" dxfId="504" priority="600" operator="containsText" text="Ｇ">
      <formula>NOT(ISERROR(SEARCH("Ｇ",C125)))</formula>
    </cfRule>
    <cfRule type="containsText" dxfId="503" priority="601" operator="containsText" text="祝">
      <formula>NOT(ISERROR(SEARCH("祝",C125)))</formula>
    </cfRule>
    <cfRule type="containsText" dxfId="502" priority="602" operator="containsText" text="祝">
      <formula>NOT(ISERROR(SEARCH("祝",C125)))</formula>
    </cfRule>
    <cfRule type="containsText" dxfId="501" priority="603" operator="containsText" text="祝">
      <formula>NOT(ISERROR(SEARCH("祝",C125)))</formula>
    </cfRule>
    <cfRule type="containsText" dxfId="500" priority="604" operator="containsText" text="祝">
      <formula>NOT(ISERROR(SEARCH("祝",C125)))</formula>
    </cfRule>
    <cfRule type="containsText" dxfId="499" priority="605" operator="containsText" text="祝">
      <formula>NOT(ISERROR(SEARCH("祝",C125)))</formula>
    </cfRule>
    <cfRule type="containsText" dxfId="498" priority="606" operator="containsText" text="盆">
      <formula>NOT(ISERROR(SEARCH("盆",C125)))</formula>
    </cfRule>
  </conditionalFormatting>
  <conditionalFormatting sqref="D125">
    <cfRule type="containsText" dxfId="497" priority="591" operator="containsText" text="正">
      <formula>NOT(ISERROR(SEARCH("正",D125)))</formula>
    </cfRule>
    <cfRule type="containsText" dxfId="496" priority="592" operator="containsText" text="Ｇ">
      <formula>NOT(ISERROR(SEARCH("Ｇ",D125)))</formula>
    </cfRule>
    <cfRule type="containsText" dxfId="495" priority="593" operator="containsText" text="祝">
      <formula>NOT(ISERROR(SEARCH("祝",D125)))</formula>
    </cfRule>
    <cfRule type="containsText" dxfId="494" priority="594" operator="containsText" text="祝">
      <formula>NOT(ISERROR(SEARCH("祝",D125)))</formula>
    </cfRule>
    <cfRule type="containsText" dxfId="493" priority="595" operator="containsText" text="祝">
      <formula>NOT(ISERROR(SEARCH("祝",D125)))</formula>
    </cfRule>
    <cfRule type="containsText" dxfId="492" priority="596" operator="containsText" text="祝">
      <formula>NOT(ISERROR(SEARCH("祝",D125)))</formula>
    </cfRule>
    <cfRule type="containsText" dxfId="491" priority="597" operator="containsText" text="祝">
      <formula>NOT(ISERROR(SEARCH("祝",D125)))</formula>
    </cfRule>
    <cfRule type="containsText" dxfId="490" priority="598" operator="containsText" text="盆">
      <formula>NOT(ISERROR(SEARCH("盆",D125)))</formula>
    </cfRule>
  </conditionalFormatting>
  <conditionalFormatting sqref="J125">
    <cfRule type="containsText" dxfId="489" priority="583" operator="containsText" text="正">
      <formula>NOT(ISERROR(SEARCH("正",J125)))</formula>
    </cfRule>
    <cfRule type="containsText" dxfId="488" priority="584" operator="containsText" text="Ｇ">
      <formula>NOT(ISERROR(SEARCH("Ｇ",J125)))</formula>
    </cfRule>
    <cfRule type="containsText" dxfId="487" priority="585" operator="containsText" text="祝">
      <formula>NOT(ISERROR(SEARCH("祝",J125)))</formula>
    </cfRule>
    <cfRule type="containsText" dxfId="486" priority="586" operator="containsText" text="祝">
      <formula>NOT(ISERROR(SEARCH("祝",J125)))</formula>
    </cfRule>
    <cfRule type="containsText" dxfId="485" priority="587" operator="containsText" text="祝">
      <formula>NOT(ISERROR(SEARCH("祝",J125)))</formula>
    </cfRule>
    <cfRule type="containsText" dxfId="484" priority="588" operator="containsText" text="祝">
      <formula>NOT(ISERROR(SEARCH("祝",J125)))</formula>
    </cfRule>
    <cfRule type="containsText" dxfId="483" priority="589" operator="containsText" text="祝">
      <formula>NOT(ISERROR(SEARCH("祝",J125)))</formula>
    </cfRule>
    <cfRule type="containsText" dxfId="482" priority="590" operator="containsText" text="盆">
      <formula>NOT(ISERROR(SEARCH("盆",J125)))</formula>
    </cfRule>
  </conditionalFormatting>
  <conditionalFormatting sqref="K125">
    <cfRule type="containsText" dxfId="481" priority="575" operator="containsText" text="正">
      <formula>NOT(ISERROR(SEARCH("正",K125)))</formula>
    </cfRule>
    <cfRule type="containsText" dxfId="480" priority="576" operator="containsText" text="Ｇ">
      <formula>NOT(ISERROR(SEARCH("Ｇ",K125)))</formula>
    </cfRule>
    <cfRule type="containsText" dxfId="479" priority="577" operator="containsText" text="祝">
      <formula>NOT(ISERROR(SEARCH("祝",K125)))</formula>
    </cfRule>
    <cfRule type="containsText" dxfId="478" priority="578" operator="containsText" text="祝">
      <formula>NOT(ISERROR(SEARCH("祝",K125)))</formula>
    </cfRule>
    <cfRule type="containsText" dxfId="477" priority="579" operator="containsText" text="祝">
      <formula>NOT(ISERROR(SEARCH("祝",K125)))</formula>
    </cfRule>
    <cfRule type="containsText" dxfId="476" priority="580" operator="containsText" text="祝">
      <formula>NOT(ISERROR(SEARCH("祝",K125)))</formula>
    </cfRule>
    <cfRule type="containsText" dxfId="475" priority="581" operator="containsText" text="祝">
      <formula>NOT(ISERROR(SEARCH("祝",K125)))</formula>
    </cfRule>
    <cfRule type="containsText" dxfId="474" priority="582" operator="containsText" text="盆">
      <formula>NOT(ISERROR(SEARCH("盆",K125)))</formula>
    </cfRule>
  </conditionalFormatting>
  <conditionalFormatting sqref="Q125">
    <cfRule type="containsText" dxfId="473" priority="567" operator="containsText" text="正">
      <formula>NOT(ISERROR(SEARCH("正",Q125)))</formula>
    </cfRule>
    <cfRule type="containsText" dxfId="472" priority="568" operator="containsText" text="Ｇ">
      <formula>NOT(ISERROR(SEARCH("Ｇ",Q125)))</formula>
    </cfRule>
    <cfRule type="containsText" dxfId="471" priority="569" operator="containsText" text="祝">
      <formula>NOT(ISERROR(SEARCH("祝",Q125)))</formula>
    </cfRule>
    <cfRule type="containsText" dxfId="470" priority="570" operator="containsText" text="祝">
      <formula>NOT(ISERROR(SEARCH("祝",Q125)))</formula>
    </cfRule>
    <cfRule type="containsText" dxfId="469" priority="571" operator="containsText" text="祝">
      <formula>NOT(ISERROR(SEARCH("祝",Q125)))</formula>
    </cfRule>
    <cfRule type="containsText" dxfId="468" priority="572" operator="containsText" text="祝">
      <formula>NOT(ISERROR(SEARCH("祝",Q125)))</formula>
    </cfRule>
    <cfRule type="containsText" dxfId="467" priority="573" operator="containsText" text="祝">
      <formula>NOT(ISERROR(SEARCH("祝",Q125)))</formula>
    </cfRule>
    <cfRule type="containsText" dxfId="466" priority="574" operator="containsText" text="盆">
      <formula>NOT(ISERROR(SEARCH("盆",Q125)))</formula>
    </cfRule>
  </conditionalFormatting>
  <conditionalFormatting sqref="R125">
    <cfRule type="containsText" dxfId="465" priority="559" operator="containsText" text="正">
      <formula>NOT(ISERROR(SEARCH("正",R125)))</formula>
    </cfRule>
    <cfRule type="containsText" dxfId="464" priority="560" operator="containsText" text="Ｇ">
      <formula>NOT(ISERROR(SEARCH("Ｇ",R125)))</formula>
    </cfRule>
    <cfRule type="containsText" dxfId="463" priority="561" operator="containsText" text="祝">
      <formula>NOT(ISERROR(SEARCH("祝",R125)))</formula>
    </cfRule>
    <cfRule type="containsText" dxfId="462" priority="562" operator="containsText" text="祝">
      <formula>NOT(ISERROR(SEARCH("祝",R125)))</formula>
    </cfRule>
    <cfRule type="containsText" dxfId="461" priority="563" operator="containsText" text="祝">
      <formula>NOT(ISERROR(SEARCH("祝",R125)))</formula>
    </cfRule>
    <cfRule type="containsText" dxfId="460" priority="564" operator="containsText" text="祝">
      <formula>NOT(ISERROR(SEARCH("祝",R125)))</formula>
    </cfRule>
    <cfRule type="containsText" dxfId="459" priority="565" operator="containsText" text="祝">
      <formula>NOT(ISERROR(SEARCH("祝",R125)))</formula>
    </cfRule>
    <cfRule type="containsText" dxfId="458" priority="566" operator="containsText" text="盆">
      <formula>NOT(ISERROR(SEARCH("盆",R125)))</formula>
    </cfRule>
  </conditionalFormatting>
  <conditionalFormatting sqref="X125">
    <cfRule type="containsText" dxfId="457" priority="551" operator="containsText" text="正">
      <formula>NOT(ISERROR(SEARCH("正",X125)))</formula>
    </cfRule>
    <cfRule type="containsText" dxfId="456" priority="552" operator="containsText" text="Ｇ">
      <formula>NOT(ISERROR(SEARCH("Ｇ",X125)))</formula>
    </cfRule>
    <cfRule type="containsText" dxfId="455" priority="553" operator="containsText" text="祝">
      <formula>NOT(ISERROR(SEARCH("祝",X125)))</formula>
    </cfRule>
    <cfRule type="containsText" dxfId="454" priority="554" operator="containsText" text="祝">
      <formula>NOT(ISERROR(SEARCH("祝",X125)))</formula>
    </cfRule>
    <cfRule type="containsText" dxfId="453" priority="555" operator="containsText" text="祝">
      <formula>NOT(ISERROR(SEARCH("祝",X125)))</formula>
    </cfRule>
    <cfRule type="containsText" dxfId="452" priority="556" operator="containsText" text="祝">
      <formula>NOT(ISERROR(SEARCH("祝",X125)))</formula>
    </cfRule>
    <cfRule type="containsText" dxfId="451" priority="557" operator="containsText" text="祝">
      <formula>NOT(ISERROR(SEARCH("祝",X125)))</formula>
    </cfRule>
    <cfRule type="containsText" dxfId="450" priority="558" operator="containsText" text="盆">
      <formula>NOT(ISERROR(SEARCH("盆",X125)))</formula>
    </cfRule>
  </conditionalFormatting>
  <conditionalFormatting sqref="Y125">
    <cfRule type="containsText" dxfId="449" priority="543" operator="containsText" text="正">
      <formula>NOT(ISERROR(SEARCH("正",Y125)))</formula>
    </cfRule>
    <cfRule type="containsText" dxfId="448" priority="544" operator="containsText" text="Ｇ">
      <formula>NOT(ISERROR(SEARCH("Ｇ",Y125)))</formula>
    </cfRule>
    <cfRule type="containsText" dxfId="447" priority="545" operator="containsText" text="祝">
      <formula>NOT(ISERROR(SEARCH("祝",Y125)))</formula>
    </cfRule>
    <cfRule type="containsText" dxfId="446" priority="546" operator="containsText" text="祝">
      <formula>NOT(ISERROR(SEARCH("祝",Y125)))</formula>
    </cfRule>
    <cfRule type="containsText" dxfId="445" priority="547" operator="containsText" text="祝">
      <formula>NOT(ISERROR(SEARCH("祝",Y125)))</formula>
    </cfRule>
    <cfRule type="containsText" dxfId="444" priority="548" operator="containsText" text="祝">
      <formula>NOT(ISERROR(SEARCH("祝",Y125)))</formula>
    </cfRule>
    <cfRule type="containsText" dxfId="443" priority="549" operator="containsText" text="祝">
      <formula>NOT(ISERROR(SEARCH("祝",Y125)))</formula>
    </cfRule>
    <cfRule type="containsText" dxfId="442" priority="550" operator="containsText" text="盆">
      <formula>NOT(ISERROR(SEARCH("盆",Y125)))</formula>
    </cfRule>
  </conditionalFormatting>
  <conditionalFormatting sqref="P18">
    <cfRule type="containsText" dxfId="441" priority="444" operator="containsText" text="正">
      <formula>NOT(ISERROR(SEARCH("正",P18)))</formula>
    </cfRule>
    <cfRule type="containsText" dxfId="440" priority="445" operator="containsText" text="盆">
      <formula>NOT(ISERROR(SEARCH("盆",P18)))</formula>
    </cfRule>
    <cfRule type="containsText" dxfId="439" priority="446" operator="containsText" text="Ｇ">
      <formula>NOT(ISERROR(SEARCH("Ｇ",P18)))</formula>
    </cfRule>
  </conditionalFormatting>
  <conditionalFormatting sqref="O18">
    <cfRule type="containsText" dxfId="438" priority="441" operator="containsText" text="正">
      <formula>NOT(ISERROR(SEARCH("正",O18)))</formula>
    </cfRule>
    <cfRule type="containsText" dxfId="437" priority="442" operator="containsText" text="盆">
      <formula>NOT(ISERROR(SEARCH("盆",O18)))</formula>
    </cfRule>
    <cfRule type="containsText" dxfId="436" priority="443" operator="containsText" text="Ｇ">
      <formula>NOT(ISERROR(SEARCH("Ｇ",O18)))</formula>
    </cfRule>
  </conditionalFormatting>
  <conditionalFormatting sqref="W18">
    <cfRule type="containsText" dxfId="435" priority="438" operator="containsText" text="正">
      <formula>NOT(ISERROR(SEARCH("正",W18)))</formula>
    </cfRule>
    <cfRule type="containsText" dxfId="434" priority="439" operator="containsText" text="盆">
      <formula>NOT(ISERROR(SEARCH("盆",W18)))</formula>
    </cfRule>
    <cfRule type="containsText" dxfId="433" priority="440" operator="containsText" text="Ｇ">
      <formula>NOT(ISERROR(SEARCH("Ｇ",W18)))</formula>
    </cfRule>
  </conditionalFormatting>
  <conditionalFormatting sqref="V18">
    <cfRule type="containsText" dxfId="432" priority="435" operator="containsText" text="正">
      <formula>NOT(ISERROR(SEARCH("正",V18)))</formula>
    </cfRule>
    <cfRule type="containsText" dxfId="431" priority="436" operator="containsText" text="盆">
      <formula>NOT(ISERROR(SEARCH("盆",V18)))</formula>
    </cfRule>
    <cfRule type="containsText" dxfId="430" priority="437" operator="containsText" text="Ｇ">
      <formula>NOT(ISERROR(SEARCH("Ｇ",V18)))</formula>
    </cfRule>
  </conditionalFormatting>
  <conditionalFormatting sqref="AD18">
    <cfRule type="containsText" dxfId="429" priority="432" operator="containsText" text="正">
      <formula>NOT(ISERROR(SEARCH("正",AD18)))</formula>
    </cfRule>
    <cfRule type="containsText" dxfId="428" priority="433" operator="containsText" text="盆">
      <formula>NOT(ISERROR(SEARCH("盆",AD18)))</formula>
    </cfRule>
    <cfRule type="containsText" dxfId="427" priority="434" operator="containsText" text="Ｇ">
      <formula>NOT(ISERROR(SEARCH("Ｇ",AD18)))</formula>
    </cfRule>
  </conditionalFormatting>
  <conditionalFormatting sqref="AC18">
    <cfRule type="containsText" dxfId="426" priority="429" operator="containsText" text="正">
      <formula>NOT(ISERROR(SEARCH("正",AC18)))</formula>
    </cfRule>
    <cfRule type="containsText" dxfId="425" priority="430" operator="containsText" text="盆">
      <formula>NOT(ISERROR(SEARCH("盆",AC18)))</formula>
    </cfRule>
    <cfRule type="containsText" dxfId="424" priority="431" operator="containsText" text="Ｇ">
      <formula>NOT(ISERROR(SEARCH("Ｇ",AC18)))</formula>
    </cfRule>
  </conditionalFormatting>
  <conditionalFormatting sqref="Y35">
    <cfRule type="containsText" dxfId="423" priority="317" operator="containsText" text="正">
      <formula>NOT(ISERROR(SEARCH("正",Y35)))</formula>
    </cfRule>
    <cfRule type="containsText" dxfId="422" priority="318" operator="containsText" text="Ｇ">
      <formula>NOT(ISERROR(SEARCH("Ｇ",Y35)))</formula>
    </cfRule>
    <cfRule type="containsText" dxfId="421" priority="319" operator="containsText" text="祝">
      <formula>NOT(ISERROR(SEARCH("祝",Y35)))</formula>
    </cfRule>
    <cfRule type="containsText" dxfId="420" priority="320" operator="containsText" text="祝">
      <formula>NOT(ISERROR(SEARCH("祝",Y35)))</formula>
    </cfRule>
    <cfRule type="containsText" dxfId="419" priority="321" operator="containsText" text="祝">
      <formula>NOT(ISERROR(SEARCH("祝",Y35)))</formula>
    </cfRule>
    <cfRule type="containsText" dxfId="418" priority="322" operator="containsText" text="祝">
      <formula>NOT(ISERROR(SEARCH("祝",Y35)))</formula>
    </cfRule>
    <cfRule type="containsText" dxfId="417" priority="323" operator="containsText" text="祝">
      <formula>NOT(ISERROR(SEARCH("祝",Y35)))</formula>
    </cfRule>
    <cfRule type="containsText" dxfId="416" priority="324" operator="containsText" text="盆">
      <formula>NOT(ISERROR(SEARCH("盆",Y35)))</formula>
    </cfRule>
  </conditionalFormatting>
  <conditionalFormatting sqref="H35:I35 L35:P35 S35:W35 Z35:AD35">
    <cfRule type="containsText" dxfId="415" priority="381" operator="containsText" text="正">
      <formula>NOT(ISERROR(SEARCH("正",H35)))</formula>
    </cfRule>
    <cfRule type="containsText" dxfId="414" priority="382" operator="containsText" text="Ｇ">
      <formula>NOT(ISERROR(SEARCH("Ｇ",H35)))</formula>
    </cfRule>
    <cfRule type="containsText" dxfId="413" priority="383" operator="containsText" text="祝">
      <formula>NOT(ISERROR(SEARCH("祝",H35)))</formula>
    </cfRule>
    <cfRule type="containsText" dxfId="412" priority="384" operator="containsText" text="祝">
      <formula>NOT(ISERROR(SEARCH("祝",H35)))</formula>
    </cfRule>
    <cfRule type="containsText" dxfId="411" priority="385" operator="containsText" text="祝">
      <formula>NOT(ISERROR(SEARCH("祝",H35)))</formula>
    </cfRule>
    <cfRule type="containsText" dxfId="410" priority="386" operator="containsText" text="祝">
      <formula>NOT(ISERROR(SEARCH("祝",H35)))</formula>
    </cfRule>
    <cfRule type="containsText" dxfId="409" priority="387" operator="containsText" text="祝">
      <formula>NOT(ISERROR(SEARCH("祝",H35)))</formula>
    </cfRule>
    <cfRule type="containsText" dxfId="408" priority="388" operator="containsText" text="盆">
      <formula>NOT(ISERROR(SEARCH("盆",H35)))</formula>
    </cfRule>
  </conditionalFormatting>
  <conditionalFormatting sqref="E35">
    <cfRule type="containsText" dxfId="407" priority="405" operator="containsText" text="正">
      <formula>NOT(ISERROR(SEARCH("正",E35)))</formula>
    </cfRule>
    <cfRule type="containsText" dxfId="406" priority="406" operator="containsText" text="Ｇ">
      <formula>NOT(ISERROR(SEARCH("Ｇ",E35)))</formula>
    </cfRule>
    <cfRule type="containsText" dxfId="405" priority="407" operator="containsText" text="祝">
      <formula>NOT(ISERROR(SEARCH("祝",E35)))</formula>
    </cfRule>
    <cfRule type="containsText" dxfId="404" priority="408" operator="containsText" text="祝">
      <formula>NOT(ISERROR(SEARCH("祝",E35)))</formula>
    </cfRule>
    <cfRule type="containsText" dxfId="403" priority="409" operator="containsText" text="祝">
      <formula>NOT(ISERROR(SEARCH("祝",E35)))</formula>
    </cfRule>
    <cfRule type="containsText" dxfId="402" priority="410" operator="containsText" text="祝">
      <formula>NOT(ISERROR(SEARCH("祝",E35)))</formula>
    </cfRule>
    <cfRule type="containsText" dxfId="401" priority="411" operator="containsText" text="祝">
      <formula>NOT(ISERROR(SEARCH("祝",E35)))</formula>
    </cfRule>
    <cfRule type="containsText" dxfId="400" priority="412" operator="containsText" text="盆">
      <formula>NOT(ISERROR(SEARCH("盆",E35)))</formula>
    </cfRule>
  </conditionalFormatting>
  <conditionalFormatting sqref="F35">
    <cfRule type="containsText" dxfId="399" priority="397" operator="containsText" text="正">
      <formula>NOT(ISERROR(SEARCH("正",F35)))</formula>
    </cfRule>
    <cfRule type="containsText" dxfId="398" priority="398" operator="containsText" text="Ｇ">
      <formula>NOT(ISERROR(SEARCH("Ｇ",F35)))</formula>
    </cfRule>
    <cfRule type="containsText" dxfId="397" priority="399" operator="containsText" text="祝">
      <formula>NOT(ISERROR(SEARCH("祝",F35)))</formula>
    </cfRule>
    <cfRule type="containsText" dxfId="396" priority="400" operator="containsText" text="祝">
      <formula>NOT(ISERROR(SEARCH("祝",F35)))</formula>
    </cfRule>
    <cfRule type="containsText" dxfId="395" priority="401" operator="containsText" text="祝">
      <formula>NOT(ISERROR(SEARCH("祝",F35)))</formula>
    </cfRule>
    <cfRule type="containsText" dxfId="394" priority="402" operator="containsText" text="祝">
      <formula>NOT(ISERROR(SEARCH("祝",F35)))</formula>
    </cfRule>
    <cfRule type="containsText" dxfId="393" priority="403" operator="containsText" text="祝">
      <formula>NOT(ISERROR(SEARCH("祝",F35)))</formula>
    </cfRule>
    <cfRule type="containsText" dxfId="392" priority="404" operator="containsText" text="盆">
      <formula>NOT(ISERROR(SEARCH("盆",F35)))</formula>
    </cfRule>
  </conditionalFormatting>
  <conditionalFormatting sqref="G35">
    <cfRule type="containsText" dxfId="391" priority="389" operator="containsText" text="正">
      <formula>NOT(ISERROR(SEARCH("正",G35)))</formula>
    </cfRule>
    <cfRule type="containsText" dxfId="390" priority="390" operator="containsText" text="Ｇ">
      <formula>NOT(ISERROR(SEARCH("Ｇ",G35)))</formula>
    </cfRule>
    <cfRule type="containsText" dxfId="389" priority="391" operator="containsText" text="祝">
      <formula>NOT(ISERROR(SEARCH("祝",G35)))</formula>
    </cfRule>
    <cfRule type="containsText" dxfId="388" priority="392" operator="containsText" text="祝">
      <formula>NOT(ISERROR(SEARCH("祝",G35)))</formula>
    </cfRule>
    <cfRule type="containsText" dxfId="387" priority="393" operator="containsText" text="祝">
      <formula>NOT(ISERROR(SEARCH("祝",G35)))</formula>
    </cfRule>
    <cfRule type="containsText" dxfId="386" priority="394" operator="containsText" text="祝">
      <formula>NOT(ISERROR(SEARCH("祝",G35)))</formula>
    </cfRule>
    <cfRule type="containsText" dxfId="385" priority="395" operator="containsText" text="祝">
      <formula>NOT(ISERROR(SEARCH("祝",G35)))</formula>
    </cfRule>
    <cfRule type="containsText" dxfId="384" priority="396" operator="containsText" text="盆">
      <formula>NOT(ISERROR(SEARCH("盆",G35)))</formula>
    </cfRule>
  </conditionalFormatting>
  <conditionalFormatting sqref="C35">
    <cfRule type="containsText" dxfId="383" priority="373" operator="containsText" text="正">
      <formula>NOT(ISERROR(SEARCH("正",C35)))</formula>
    </cfRule>
    <cfRule type="containsText" dxfId="382" priority="374" operator="containsText" text="Ｇ">
      <formula>NOT(ISERROR(SEARCH("Ｇ",C35)))</formula>
    </cfRule>
    <cfRule type="containsText" dxfId="381" priority="375" operator="containsText" text="祝">
      <formula>NOT(ISERROR(SEARCH("祝",C35)))</formula>
    </cfRule>
    <cfRule type="containsText" dxfId="380" priority="376" operator="containsText" text="祝">
      <formula>NOT(ISERROR(SEARCH("祝",C35)))</formula>
    </cfRule>
    <cfRule type="containsText" dxfId="379" priority="377" operator="containsText" text="祝">
      <formula>NOT(ISERROR(SEARCH("祝",C35)))</formula>
    </cfRule>
    <cfRule type="containsText" dxfId="378" priority="378" operator="containsText" text="祝">
      <formula>NOT(ISERROR(SEARCH("祝",C35)))</formula>
    </cfRule>
    <cfRule type="containsText" dxfId="377" priority="379" operator="containsText" text="祝">
      <formula>NOT(ISERROR(SEARCH("祝",C35)))</formula>
    </cfRule>
    <cfRule type="containsText" dxfId="376" priority="380" operator="containsText" text="盆">
      <formula>NOT(ISERROR(SEARCH("盆",C35)))</formula>
    </cfRule>
  </conditionalFormatting>
  <conditionalFormatting sqref="D35">
    <cfRule type="containsText" dxfId="375" priority="365" operator="containsText" text="正">
      <formula>NOT(ISERROR(SEARCH("正",D35)))</formula>
    </cfRule>
    <cfRule type="containsText" dxfId="374" priority="366" operator="containsText" text="Ｇ">
      <formula>NOT(ISERROR(SEARCH("Ｇ",D35)))</formula>
    </cfRule>
    <cfRule type="containsText" dxfId="373" priority="367" operator="containsText" text="祝">
      <formula>NOT(ISERROR(SEARCH("祝",D35)))</formula>
    </cfRule>
    <cfRule type="containsText" dxfId="372" priority="368" operator="containsText" text="祝">
      <formula>NOT(ISERROR(SEARCH("祝",D35)))</formula>
    </cfRule>
    <cfRule type="containsText" dxfId="371" priority="369" operator="containsText" text="祝">
      <formula>NOT(ISERROR(SEARCH("祝",D35)))</formula>
    </cfRule>
    <cfRule type="containsText" dxfId="370" priority="370" operator="containsText" text="祝">
      <formula>NOT(ISERROR(SEARCH("祝",D35)))</formula>
    </cfRule>
    <cfRule type="containsText" dxfId="369" priority="371" operator="containsText" text="祝">
      <formula>NOT(ISERROR(SEARCH("祝",D35)))</formula>
    </cfRule>
    <cfRule type="containsText" dxfId="368" priority="372" operator="containsText" text="盆">
      <formula>NOT(ISERROR(SEARCH("盆",D35)))</formula>
    </cfRule>
  </conditionalFormatting>
  <conditionalFormatting sqref="J35">
    <cfRule type="containsText" dxfId="367" priority="357" operator="containsText" text="正">
      <formula>NOT(ISERROR(SEARCH("正",J35)))</formula>
    </cfRule>
    <cfRule type="containsText" dxfId="366" priority="358" operator="containsText" text="Ｇ">
      <formula>NOT(ISERROR(SEARCH("Ｇ",J35)))</formula>
    </cfRule>
    <cfRule type="containsText" dxfId="365" priority="359" operator="containsText" text="祝">
      <formula>NOT(ISERROR(SEARCH("祝",J35)))</formula>
    </cfRule>
    <cfRule type="containsText" dxfId="364" priority="360" operator="containsText" text="祝">
      <formula>NOT(ISERROR(SEARCH("祝",J35)))</formula>
    </cfRule>
    <cfRule type="containsText" dxfId="363" priority="361" operator="containsText" text="祝">
      <formula>NOT(ISERROR(SEARCH("祝",J35)))</formula>
    </cfRule>
    <cfRule type="containsText" dxfId="362" priority="362" operator="containsText" text="祝">
      <formula>NOT(ISERROR(SEARCH("祝",J35)))</formula>
    </cfRule>
    <cfRule type="containsText" dxfId="361" priority="363" operator="containsText" text="祝">
      <formula>NOT(ISERROR(SEARCH("祝",J35)))</formula>
    </cfRule>
    <cfRule type="containsText" dxfId="360" priority="364" operator="containsText" text="盆">
      <formula>NOT(ISERROR(SEARCH("盆",J35)))</formula>
    </cfRule>
  </conditionalFormatting>
  <conditionalFormatting sqref="K35">
    <cfRule type="containsText" dxfId="359" priority="349" operator="containsText" text="正">
      <formula>NOT(ISERROR(SEARCH("正",K35)))</formula>
    </cfRule>
    <cfRule type="containsText" dxfId="358" priority="350" operator="containsText" text="Ｇ">
      <formula>NOT(ISERROR(SEARCH("Ｇ",K35)))</formula>
    </cfRule>
    <cfRule type="containsText" dxfId="357" priority="351" operator="containsText" text="祝">
      <formula>NOT(ISERROR(SEARCH("祝",K35)))</formula>
    </cfRule>
    <cfRule type="containsText" dxfId="356" priority="352" operator="containsText" text="祝">
      <formula>NOT(ISERROR(SEARCH("祝",K35)))</formula>
    </cfRule>
    <cfRule type="containsText" dxfId="355" priority="353" operator="containsText" text="祝">
      <formula>NOT(ISERROR(SEARCH("祝",K35)))</formula>
    </cfRule>
    <cfRule type="containsText" dxfId="354" priority="354" operator="containsText" text="祝">
      <formula>NOT(ISERROR(SEARCH("祝",K35)))</formula>
    </cfRule>
    <cfRule type="containsText" dxfId="353" priority="355" operator="containsText" text="祝">
      <formula>NOT(ISERROR(SEARCH("祝",K35)))</formula>
    </cfRule>
    <cfRule type="containsText" dxfId="352" priority="356" operator="containsText" text="盆">
      <formula>NOT(ISERROR(SEARCH("盆",K35)))</formula>
    </cfRule>
  </conditionalFormatting>
  <conditionalFormatting sqref="Q35">
    <cfRule type="containsText" dxfId="351" priority="341" operator="containsText" text="正">
      <formula>NOT(ISERROR(SEARCH("正",Q35)))</formula>
    </cfRule>
    <cfRule type="containsText" dxfId="350" priority="342" operator="containsText" text="Ｇ">
      <formula>NOT(ISERROR(SEARCH("Ｇ",Q35)))</formula>
    </cfRule>
    <cfRule type="containsText" dxfId="349" priority="343" operator="containsText" text="祝">
      <formula>NOT(ISERROR(SEARCH("祝",Q35)))</formula>
    </cfRule>
    <cfRule type="containsText" dxfId="348" priority="344" operator="containsText" text="祝">
      <formula>NOT(ISERROR(SEARCH("祝",Q35)))</formula>
    </cfRule>
    <cfRule type="containsText" dxfId="347" priority="345" operator="containsText" text="祝">
      <formula>NOT(ISERROR(SEARCH("祝",Q35)))</formula>
    </cfRule>
    <cfRule type="containsText" dxfId="346" priority="346" operator="containsText" text="祝">
      <formula>NOT(ISERROR(SEARCH("祝",Q35)))</formula>
    </cfRule>
    <cfRule type="containsText" dxfId="345" priority="347" operator="containsText" text="祝">
      <formula>NOT(ISERROR(SEARCH("祝",Q35)))</formula>
    </cfRule>
    <cfRule type="containsText" dxfId="344" priority="348" operator="containsText" text="盆">
      <formula>NOT(ISERROR(SEARCH("盆",Q35)))</formula>
    </cfRule>
  </conditionalFormatting>
  <conditionalFormatting sqref="R35">
    <cfRule type="containsText" dxfId="343" priority="333" operator="containsText" text="正">
      <formula>NOT(ISERROR(SEARCH("正",R35)))</formula>
    </cfRule>
    <cfRule type="containsText" dxfId="342" priority="334" operator="containsText" text="Ｇ">
      <formula>NOT(ISERROR(SEARCH("Ｇ",R35)))</formula>
    </cfRule>
    <cfRule type="containsText" dxfId="341" priority="335" operator="containsText" text="祝">
      <formula>NOT(ISERROR(SEARCH("祝",R35)))</formula>
    </cfRule>
    <cfRule type="containsText" dxfId="340" priority="336" operator="containsText" text="祝">
      <formula>NOT(ISERROR(SEARCH("祝",R35)))</formula>
    </cfRule>
    <cfRule type="containsText" dxfId="339" priority="337" operator="containsText" text="祝">
      <formula>NOT(ISERROR(SEARCH("祝",R35)))</formula>
    </cfRule>
    <cfRule type="containsText" dxfId="338" priority="338" operator="containsText" text="祝">
      <formula>NOT(ISERROR(SEARCH("祝",R35)))</formula>
    </cfRule>
    <cfRule type="containsText" dxfId="337" priority="339" operator="containsText" text="祝">
      <formula>NOT(ISERROR(SEARCH("祝",R35)))</formula>
    </cfRule>
    <cfRule type="containsText" dxfId="336" priority="340" operator="containsText" text="盆">
      <formula>NOT(ISERROR(SEARCH("盆",R35)))</formula>
    </cfRule>
  </conditionalFormatting>
  <conditionalFormatting sqref="X35">
    <cfRule type="containsText" dxfId="335" priority="325" operator="containsText" text="正">
      <formula>NOT(ISERROR(SEARCH("正",X35)))</formula>
    </cfRule>
    <cfRule type="containsText" dxfId="334" priority="326" operator="containsText" text="Ｇ">
      <formula>NOT(ISERROR(SEARCH("Ｇ",X35)))</formula>
    </cfRule>
    <cfRule type="containsText" dxfId="333" priority="327" operator="containsText" text="祝">
      <formula>NOT(ISERROR(SEARCH("祝",X35)))</formula>
    </cfRule>
    <cfRule type="containsText" dxfId="332" priority="328" operator="containsText" text="祝">
      <formula>NOT(ISERROR(SEARCH("祝",X35)))</formula>
    </cfRule>
    <cfRule type="containsText" dxfId="331" priority="329" operator="containsText" text="祝">
      <formula>NOT(ISERROR(SEARCH("祝",X35)))</formula>
    </cfRule>
    <cfRule type="containsText" dxfId="330" priority="330" operator="containsText" text="祝">
      <formula>NOT(ISERROR(SEARCH("祝",X35)))</formula>
    </cfRule>
    <cfRule type="containsText" dxfId="329" priority="331" operator="containsText" text="祝">
      <formula>NOT(ISERROR(SEARCH("祝",X35)))</formula>
    </cfRule>
    <cfRule type="containsText" dxfId="328" priority="332" operator="containsText" text="盆">
      <formula>NOT(ISERROR(SEARCH("盆",X35)))</formula>
    </cfRule>
  </conditionalFormatting>
  <conditionalFormatting sqref="H29:I29 L29:P29 S29:W29 Z29:AD29">
    <cfRule type="containsText" dxfId="327" priority="285" operator="containsText" text="正">
      <formula>NOT(ISERROR(SEARCH("正",H29)))</formula>
    </cfRule>
    <cfRule type="containsText" dxfId="326" priority="286" operator="containsText" text="Ｇ">
      <formula>NOT(ISERROR(SEARCH("Ｇ",H29)))</formula>
    </cfRule>
    <cfRule type="containsText" dxfId="325" priority="287" operator="containsText" text="祝">
      <formula>NOT(ISERROR(SEARCH("祝",H29)))</formula>
    </cfRule>
    <cfRule type="containsText" dxfId="324" priority="288" operator="containsText" text="祝">
      <formula>NOT(ISERROR(SEARCH("祝",H29)))</formula>
    </cfRule>
    <cfRule type="containsText" dxfId="323" priority="289" operator="containsText" text="祝">
      <formula>NOT(ISERROR(SEARCH("祝",H29)))</formula>
    </cfRule>
    <cfRule type="containsText" dxfId="322" priority="290" operator="containsText" text="祝">
      <formula>NOT(ISERROR(SEARCH("祝",H29)))</formula>
    </cfRule>
    <cfRule type="containsText" dxfId="321" priority="291" operator="containsText" text="祝">
      <formula>NOT(ISERROR(SEARCH("祝",H29)))</formula>
    </cfRule>
    <cfRule type="containsText" dxfId="320" priority="292" operator="containsText" text="盆">
      <formula>NOT(ISERROR(SEARCH("盆",H29)))</formula>
    </cfRule>
  </conditionalFormatting>
  <conditionalFormatting sqref="E29">
    <cfRule type="containsText" dxfId="319" priority="309" operator="containsText" text="正">
      <formula>NOT(ISERROR(SEARCH("正",E29)))</formula>
    </cfRule>
    <cfRule type="containsText" dxfId="318" priority="310" operator="containsText" text="Ｇ">
      <formula>NOT(ISERROR(SEARCH("Ｇ",E29)))</formula>
    </cfRule>
    <cfRule type="containsText" dxfId="317" priority="311" operator="containsText" text="祝">
      <formula>NOT(ISERROR(SEARCH("祝",E29)))</formula>
    </cfRule>
    <cfRule type="containsText" dxfId="316" priority="312" operator="containsText" text="祝">
      <formula>NOT(ISERROR(SEARCH("祝",E29)))</formula>
    </cfRule>
    <cfRule type="containsText" dxfId="315" priority="313" operator="containsText" text="祝">
      <formula>NOT(ISERROR(SEARCH("祝",E29)))</formula>
    </cfRule>
    <cfRule type="containsText" dxfId="314" priority="314" operator="containsText" text="祝">
      <formula>NOT(ISERROR(SEARCH("祝",E29)))</formula>
    </cfRule>
    <cfRule type="containsText" dxfId="313" priority="315" operator="containsText" text="祝">
      <formula>NOT(ISERROR(SEARCH("祝",E29)))</formula>
    </cfRule>
    <cfRule type="containsText" dxfId="312" priority="316" operator="containsText" text="盆">
      <formula>NOT(ISERROR(SEARCH("盆",E29)))</formula>
    </cfRule>
  </conditionalFormatting>
  <conditionalFormatting sqref="F29">
    <cfRule type="containsText" dxfId="311" priority="301" operator="containsText" text="正">
      <formula>NOT(ISERROR(SEARCH("正",F29)))</formula>
    </cfRule>
    <cfRule type="containsText" dxfId="310" priority="302" operator="containsText" text="Ｇ">
      <formula>NOT(ISERROR(SEARCH("Ｇ",F29)))</formula>
    </cfRule>
    <cfRule type="containsText" dxfId="309" priority="303" operator="containsText" text="祝">
      <formula>NOT(ISERROR(SEARCH("祝",F29)))</formula>
    </cfRule>
    <cfRule type="containsText" dxfId="308" priority="304" operator="containsText" text="祝">
      <formula>NOT(ISERROR(SEARCH("祝",F29)))</formula>
    </cfRule>
    <cfRule type="containsText" dxfId="307" priority="305" operator="containsText" text="祝">
      <formula>NOT(ISERROR(SEARCH("祝",F29)))</formula>
    </cfRule>
    <cfRule type="containsText" dxfId="306" priority="306" operator="containsText" text="祝">
      <formula>NOT(ISERROR(SEARCH("祝",F29)))</formula>
    </cfRule>
    <cfRule type="containsText" dxfId="305" priority="307" operator="containsText" text="祝">
      <formula>NOT(ISERROR(SEARCH("祝",F29)))</formula>
    </cfRule>
    <cfRule type="containsText" dxfId="304" priority="308" operator="containsText" text="盆">
      <formula>NOT(ISERROR(SEARCH("盆",F29)))</formula>
    </cfRule>
  </conditionalFormatting>
  <conditionalFormatting sqref="G29">
    <cfRule type="containsText" dxfId="303" priority="293" operator="containsText" text="正">
      <formula>NOT(ISERROR(SEARCH("正",G29)))</formula>
    </cfRule>
    <cfRule type="containsText" dxfId="302" priority="294" operator="containsText" text="Ｇ">
      <formula>NOT(ISERROR(SEARCH("Ｇ",G29)))</formula>
    </cfRule>
    <cfRule type="containsText" dxfId="301" priority="295" operator="containsText" text="祝">
      <formula>NOT(ISERROR(SEARCH("祝",G29)))</formula>
    </cfRule>
    <cfRule type="containsText" dxfId="300" priority="296" operator="containsText" text="祝">
      <formula>NOT(ISERROR(SEARCH("祝",G29)))</formula>
    </cfRule>
    <cfRule type="containsText" dxfId="299" priority="297" operator="containsText" text="祝">
      <formula>NOT(ISERROR(SEARCH("祝",G29)))</formula>
    </cfRule>
    <cfRule type="containsText" dxfId="298" priority="298" operator="containsText" text="祝">
      <formula>NOT(ISERROR(SEARCH("祝",G29)))</formula>
    </cfRule>
    <cfRule type="containsText" dxfId="297" priority="299" operator="containsText" text="祝">
      <formula>NOT(ISERROR(SEARCH("祝",G29)))</formula>
    </cfRule>
    <cfRule type="containsText" dxfId="296" priority="300" operator="containsText" text="盆">
      <formula>NOT(ISERROR(SEARCH("盆",G29)))</formula>
    </cfRule>
  </conditionalFormatting>
  <conditionalFormatting sqref="C29">
    <cfRule type="containsText" dxfId="295" priority="277" operator="containsText" text="正">
      <formula>NOT(ISERROR(SEARCH("正",C29)))</formula>
    </cfRule>
    <cfRule type="containsText" dxfId="294" priority="278" operator="containsText" text="Ｇ">
      <formula>NOT(ISERROR(SEARCH("Ｇ",C29)))</formula>
    </cfRule>
    <cfRule type="containsText" dxfId="293" priority="279" operator="containsText" text="祝">
      <formula>NOT(ISERROR(SEARCH("祝",C29)))</formula>
    </cfRule>
    <cfRule type="containsText" dxfId="292" priority="280" operator="containsText" text="祝">
      <formula>NOT(ISERROR(SEARCH("祝",C29)))</formula>
    </cfRule>
    <cfRule type="containsText" dxfId="291" priority="281" operator="containsText" text="祝">
      <formula>NOT(ISERROR(SEARCH("祝",C29)))</formula>
    </cfRule>
    <cfRule type="containsText" dxfId="290" priority="282" operator="containsText" text="祝">
      <formula>NOT(ISERROR(SEARCH("祝",C29)))</formula>
    </cfRule>
    <cfRule type="containsText" dxfId="289" priority="283" operator="containsText" text="祝">
      <formula>NOT(ISERROR(SEARCH("祝",C29)))</formula>
    </cfRule>
    <cfRule type="containsText" dxfId="288" priority="284" operator="containsText" text="盆">
      <formula>NOT(ISERROR(SEARCH("盆",C29)))</formula>
    </cfRule>
  </conditionalFormatting>
  <conditionalFormatting sqref="D29">
    <cfRule type="containsText" dxfId="287" priority="269" operator="containsText" text="正">
      <formula>NOT(ISERROR(SEARCH("正",D29)))</formula>
    </cfRule>
    <cfRule type="containsText" dxfId="286" priority="270" operator="containsText" text="Ｇ">
      <formula>NOT(ISERROR(SEARCH("Ｇ",D29)))</formula>
    </cfRule>
    <cfRule type="containsText" dxfId="285" priority="271" operator="containsText" text="祝">
      <formula>NOT(ISERROR(SEARCH("祝",D29)))</formula>
    </cfRule>
    <cfRule type="containsText" dxfId="284" priority="272" operator="containsText" text="祝">
      <formula>NOT(ISERROR(SEARCH("祝",D29)))</formula>
    </cfRule>
    <cfRule type="containsText" dxfId="283" priority="273" operator="containsText" text="祝">
      <formula>NOT(ISERROR(SEARCH("祝",D29)))</formula>
    </cfRule>
    <cfRule type="containsText" dxfId="282" priority="274" operator="containsText" text="祝">
      <formula>NOT(ISERROR(SEARCH("祝",D29)))</formula>
    </cfRule>
    <cfRule type="containsText" dxfId="281" priority="275" operator="containsText" text="祝">
      <formula>NOT(ISERROR(SEARCH("祝",D29)))</formula>
    </cfRule>
    <cfRule type="containsText" dxfId="280" priority="276" operator="containsText" text="盆">
      <formula>NOT(ISERROR(SEARCH("盆",D29)))</formula>
    </cfRule>
  </conditionalFormatting>
  <conditionalFormatting sqref="J29">
    <cfRule type="containsText" dxfId="279" priority="261" operator="containsText" text="正">
      <formula>NOT(ISERROR(SEARCH("正",J29)))</formula>
    </cfRule>
    <cfRule type="containsText" dxfId="278" priority="262" operator="containsText" text="Ｇ">
      <formula>NOT(ISERROR(SEARCH("Ｇ",J29)))</formula>
    </cfRule>
    <cfRule type="containsText" dxfId="277" priority="263" operator="containsText" text="祝">
      <formula>NOT(ISERROR(SEARCH("祝",J29)))</formula>
    </cfRule>
    <cfRule type="containsText" dxfId="276" priority="264" operator="containsText" text="祝">
      <formula>NOT(ISERROR(SEARCH("祝",J29)))</formula>
    </cfRule>
    <cfRule type="containsText" dxfId="275" priority="265" operator="containsText" text="祝">
      <formula>NOT(ISERROR(SEARCH("祝",J29)))</formula>
    </cfRule>
    <cfRule type="containsText" dxfId="274" priority="266" operator="containsText" text="祝">
      <formula>NOT(ISERROR(SEARCH("祝",J29)))</formula>
    </cfRule>
    <cfRule type="containsText" dxfId="273" priority="267" operator="containsText" text="祝">
      <formula>NOT(ISERROR(SEARCH("祝",J29)))</formula>
    </cfRule>
    <cfRule type="containsText" dxfId="272" priority="268" operator="containsText" text="盆">
      <formula>NOT(ISERROR(SEARCH("盆",J29)))</formula>
    </cfRule>
  </conditionalFormatting>
  <conditionalFormatting sqref="K29">
    <cfRule type="containsText" dxfId="271" priority="253" operator="containsText" text="正">
      <formula>NOT(ISERROR(SEARCH("正",K29)))</formula>
    </cfRule>
    <cfRule type="containsText" dxfId="270" priority="254" operator="containsText" text="Ｇ">
      <formula>NOT(ISERROR(SEARCH("Ｇ",K29)))</formula>
    </cfRule>
    <cfRule type="containsText" dxfId="269" priority="255" operator="containsText" text="祝">
      <formula>NOT(ISERROR(SEARCH("祝",K29)))</formula>
    </cfRule>
    <cfRule type="containsText" dxfId="268" priority="256" operator="containsText" text="祝">
      <formula>NOT(ISERROR(SEARCH("祝",K29)))</formula>
    </cfRule>
    <cfRule type="containsText" dxfId="267" priority="257" operator="containsText" text="祝">
      <formula>NOT(ISERROR(SEARCH("祝",K29)))</formula>
    </cfRule>
    <cfRule type="containsText" dxfId="266" priority="258" operator="containsText" text="祝">
      <formula>NOT(ISERROR(SEARCH("祝",K29)))</formula>
    </cfRule>
    <cfRule type="containsText" dxfId="265" priority="259" operator="containsText" text="祝">
      <formula>NOT(ISERROR(SEARCH("祝",K29)))</formula>
    </cfRule>
    <cfRule type="containsText" dxfId="264" priority="260" operator="containsText" text="盆">
      <formula>NOT(ISERROR(SEARCH("盆",K29)))</formula>
    </cfRule>
  </conditionalFormatting>
  <conditionalFormatting sqref="Q29">
    <cfRule type="containsText" dxfId="263" priority="245" operator="containsText" text="正">
      <formula>NOT(ISERROR(SEARCH("正",Q29)))</formula>
    </cfRule>
    <cfRule type="containsText" dxfId="262" priority="246" operator="containsText" text="Ｇ">
      <formula>NOT(ISERROR(SEARCH("Ｇ",Q29)))</formula>
    </cfRule>
    <cfRule type="containsText" dxfId="261" priority="247" operator="containsText" text="祝">
      <formula>NOT(ISERROR(SEARCH("祝",Q29)))</formula>
    </cfRule>
    <cfRule type="containsText" dxfId="260" priority="248" operator="containsText" text="祝">
      <formula>NOT(ISERROR(SEARCH("祝",Q29)))</formula>
    </cfRule>
    <cfRule type="containsText" dxfId="259" priority="249" operator="containsText" text="祝">
      <formula>NOT(ISERROR(SEARCH("祝",Q29)))</formula>
    </cfRule>
    <cfRule type="containsText" dxfId="258" priority="250" operator="containsText" text="祝">
      <formula>NOT(ISERROR(SEARCH("祝",Q29)))</formula>
    </cfRule>
    <cfRule type="containsText" dxfId="257" priority="251" operator="containsText" text="祝">
      <formula>NOT(ISERROR(SEARCH("祝",Q29)))</formula>
    </cfRule>
    <cfRule type="containsText" dxfId="256" priority="252" operator="containsText" text="盆">
      <formula>NOT(ISERROR(SEARCH("盆",Q29)))</formula>
    </cfRule>
  </conditionalFormatting>
  <conditionalFormatting sqref="R29">
    <cfRule type="containsText" dxfId="255" priority="237" operator="containsText" text="正">
      <formula>NOT(ISERROR(SEARCH("正",R29)))</formula>
    </cfRule>
    <cfRule type="containsText" dxfId="254" priority="238" operator="containsText" text="Ｇ">
      <formula>NOT(ISERROR(SEARCH("Ｇ",R29)))</formula>
    </cfRule>
    <cfRule type="containsText" dxfId="253" priority="239" operator="containsText" text="祝">
      <formula>NOT(ISERROR(SEARCH("祝",R29)))</formula>
    </cfRule>
    <cfRule type="containsText" dxfId="252" priority="240" operator="containsText" text="祝">
      <formula>NOT(ISERROR(SEARCH("祝",R29)))</formula>
    </cfRule>
    <cfRule type="containsText" dxfId="251" priority="241" operator="containsText" text="祝">
      <formula>NOT(ISERROR(SEARCH("祝",R29)))</formula>
    </cfRule>
    <cfRule type="containsText" dxfId="250" priority="242" operator="containsText" text="祝">
      <formula>NOT(ISERROR(SEARCH("祝",R29)))</formula>
    </cfRule>
    <cfRule type="containsText" dxfId="249" priority="243" operator="containsText" text="祝">
      <formula>NOT(ISERROR(SEARCH("祝",R29)))</formula>
    </cfRule>
    <cfRule type="containsText" dxfId="248" priority="244" operator="containsText" text="盆">
      <formula>NOT(ISERROR(SEARCH("盆",R29)))</formula>
    </cfRule>
  </conditionalFormatting>
  <conditionalFormatting sqref="X29">
    <cfRule type="containsText" dxfId="247" priority="229" operator="containsText" text="正">
      <formula>NOT(ISERROR(SEARCH("正",X29)))</formula>
    </cfRule>
    <cfRule type="containsText" dxfId="246" priority="230" operator="containsText" text="Ｇ">
      <formula>NOT(ISERROR(SEARCH("Ｇ",X29)))</formula>
    </cfRule>
    <cfRule type="containsText" dxfId="245" priority="231" operator="containsText" text="祝">
      <formula>NOT(ISERROR(SEARCH("祝",X29)))</formula>
    </cfRule>
    <cfRule type="containsText" dxfId="244" priority="232" operator="containsText" text="祝">
      <formula>NOT(ISERROR(SEARCH("祝",X29)))</formula>
    </cfRule>
    <cfRule type="containsText" dxfId="243" priority="233" operator="containsText" text="祝">
      <formula>NOT(ISERROR(SEARCH("祝",X29)))</formula>
    </cfRule>
    <cfRule type="containsText" dxfId="242" priority="234" operator="containsText" text="祝">
      <formula>NOT(ISERROR(SEARCH("祝",X29)))</formula>
    </cfRule>
    <cfRule type="containsText" dxfId="241" priority="235" operator="containsText" text="祝">
      <formula>NOT(ISERROR(SEARCH("祝",X29)))</formula>
    </cfRule>
    <cfRule type="containsText" dxfId="240" priority="236" operator="containsText" text="盆">
      <formula>NOT(ISERROR(SEARCH("盆",X29)))</formula>
    </cfRule>
  </conditionalFormatting>
  <conditionalFormatting sqref="Y29">
    <cfRule type="containsText" dxfId="239" priority="221" operator="containsText" text="正">
      <formula>NOT(ISERROR(SEARCH("正",Y29)))</formula>
    </cfRule>
    <cfRule type="containsText" dxfId="238" priority="222" operator="containsText" text="Ｇ">
      <formula>NOT(ISERROR(SEARCH("Ｇ",Y29)))</formula>
    </cfRule>
    <cfRule type="containsText" dxfId="237" priority="223" operator="containsText" text="祝">
      <formula>NOT(ISERROR(SEARCH("祝",Y29)))</formula>
    </cfRule>
    <cfRule type="containsText" dxfId="236" priority="224" operator="containsText" text="祝">
      <formula>NOT(ISERROR(SEARCH("祝",Y29)))</formula>
    </cfRule>
    <cfRule type="containsText" dxfId="235" priority="225" operator="containsText" text="祝">
      <formula>NOT(ISERROR(SEARCH("祝",Y29)))</formula>
    </cfRule>
    <cfRule type="containsText" dxfId="234" priority="226" operator="containsText" text="祝">
      <formula>NOT(ISERROR(SEARCH("祝",Y29)))</formula>
    </cfRule>
    <cfRule type="containsText" dxfId="233" priority="227" operator="containsText" text="祝">
      <formula>NOT(ISERROR(SEARCH("祝",Y29)))</formula>
    </cfRule>
    <cfRule type="containsText" dxfId="232" priority="228" operator="containsText" text="盆">
      <formula>NOT(ISERROR(SEARCH("盆",Y29)))</formula>
    </cfRule>
  </conditionalFormatting>
  <conditionalFormatting sqref="H23:I23 L23:P23 S23:W23 Z23:AD23">
    <cfRule type="containsText" dxfId="231" priority="189" operator="containsText" text="正">
      <formula>NOT(ISERROR(SEARCH("正",H23)))</formula>
    </cfRule>
    <cfRule type="containsText" dxfId="230" priority="190" operator="containsText" text="Ｇ">
      <formula>NOT(ISERROR(SEARCH("Ｇ",H23)))</formula>
    </cfRule>
    <cfRule type="containsText" dxfId="229" priority="191" operator="containsText" text="祝">
      <formula>NOT(ISERROR(SEARCH("祝",H23)))</formula>
    </cfRule>
    <cfRule type="containsText" dxfId="228" priority="192" operator="containsText" text="祝">
      <formula>NOT(ISERROR(SEARCH("祝",H23)))</formula>
    </cfRule>
    <cfRule type="containsText" dxfId="227" priority="193" operator="containsText" text="祝">
      <formula>NOT(ISERROR(SEARCH("祝",H23)))</formula>
    </cfRule>
    <cfRule type="containsText" dxfId="226" priority="194" operator="containsText" text="祝">
      <formula>NOT(ISERROR(SEARCH("祝",H23)))</formula>
    </cfRule>
    <cfRule type="containsText" dxfId="225" priority="195" operator="containsText" text="祝">
      <formula>NOT(ISERROR(SEARCH("祝",H23)))</formula>
    </cfRule>
    <cfRule type="containsText" dxfId="224" priority="196" operator="containsText" text="盆">
      <formula>NOT(ISERROR(SEARCH("盆",H23)))</formula>
    </cfRule>
  </conditionalFormatting>
  <conditionalFormatting sqref="E23">
    <cfRule type="containsText" dxfId="223" priority="213" operator="containsText" text="正">
      <formula>NOT(ISERROR(SEARCH("正",E23)))</formula>
    </cfRule>
    <cfRule type="containsText" dxfId="222" priority="214" operator="containsText" text="Ｇ">
      <formula>NOT(ISERROR(SEARCH("Ｇ",E23)))</formula>
    </cfRule>
    <cfRule type="containsText" dxfId="221" priority="215" operator="containsText" text="祝">
      <formula>NOT(ISERROR(SEARCH("祝",E23)))</formula>
    </cfRule>
    <cfRule type="containsText" dxfId="220" priority="216" operator="containsText" text="祝">
      <formula>NOT(ISERROR(SEARCH("祝",E23)))</formula>
    </cfRule>
    <cfRule type="containsText" dxfId="219" priority="217" operator="containsText" text="祝">
      <formula>NOT(ISERROR(SEARCH("祝",E23)))</formula>
    </cfRule>
    <cfRule type="containsText" dxfId="218" priority="218" operator="containsText" text="祝">
      <formula>NOT(ISERROR(SEARCH("祝",E23)))</formula>
    </cfRule>
    <cfRule type="containsText" dxfId="217" priority="219" operator="containsText" text="祝">
      <formula>NOT(ISERROR(SEARCH("祝",E23)))</formula>
    </cfRule>
    <cfRule type="containsText" dxfId="216" priority="220" operator="containsText" text="盆">
      <formula>NOT(ISERROR(SEARCH("盆",E23)))</formula>
    </cfRule>
  </conditionalFormatting>
  <conditionalFormatting sqref="F23">
    <cfRule type="containsText" dxfId="215" priority="205" operator="containsText" text="正">
      <formula>NOT(ISERROR(SEARCH("正",F23)))</formula>
    </cfRule>
    <cfRule type="containsText" dxfId="214" priority="206" operator="containsText" text="Ｇ">
      <formula>NOT(ISERROR(SEARCH("Ｇ",F23)))</formula>
    </cfRule>
    <cfRule type="containsText" dxfId="213" priority="207" operator="containsText" text="祝">
      <formula>NOT(ISERROR(SEARCH("祝",F23)))</formula>
    </cfRule>
    <cfRule type="containsText" dxfId="212" priority="208" operator="containsText" text="祝">
      <formula>NOT(ISERROR(SEARCH("祝",F23)))</formula>
    </cfRule>
    <cfRule type="containsText" dxfId="211" priority="209" operator="containsText" text="祝">
      <formula>NOT(ISERROR(SEARCH("祝",F23)))</formula>
    </cfRule>
    <cfRule type="containsText" dxfId="210" priority="210" operator="containsText" text="祝">
      <formula>NOT(ISERROR(SEARCH("祝",F23)))</formula>
    </cfRule>
    <cfRule type="containsText" dxfId="209" priority="211" operator="containsText" text="祝">
      <formula>NOT(ISERROR(SEARCH("祝",F23)))</formula>
    </cfRule>
    <cfRule type="containsText" dxfId="208" priority="212" operator="containsText" text="盆">
      <formula>NOT(ISERROR(SEARCH("盆",F23)))</formula>
    </cfRule>
  </conditionalFormatting>
  <conditionalFormatting sqref="G23">
    <cfRule type="containsText" dxfId="207" priority="197" operator="containsText" text="正">
      <formula>NOT(ISERROR(SEARCH("正",G23)))</formula>
    </cfRule>
    <cfRule type="containsText" dxfId="206" priority="198" operator="containsText" text="Ｇ">
      <formula>NOT(ISERROR(SEARCH("Ｇ",G23)))</formula>
    </cfRule>
    <cfRule type="containsText" dxfId="205" priority="199" operator="containsText" text="祝">
      <formula>NOT(ISERROR(SEARCH("祝",G23)))</formula>
    </cfRule>
    <cfRule type="containsText" dxfId="204" priority="200" operator="containsText" text="祝">
      <formula>NOT(ISERROR(SEARCH("祝",G23)))</formula>
    </cfRule>
    <cfRule type="containsText" dxfId="203" priority="201" operator="containsText" text="祝">
      <formula>NOT(ISERROR(SEARCH("祝",G23)))</formula>
    </cfRule>
    <cfRule type="containsText" dxfId="202" priority="202" operator="containsText" text="祝">
      <formula>NOT(ISERROR(SEARCH("祝",G23)))</formula>
    </cfRule>
    <cfRule type="containsText" dxfId="201" priority="203" operator="containsText" text="祝">
      <formula>NOT(ISERROR(SEARCH("祝",G23)))</formula>
    </cfRule>
    <cfRule type="containsText" dxfId="200" priority="204" operator="containsText" text="盆">
      <formula>NOT(ISERROR(SEARCH("盆",G23)))</formula>
    </cfRule>
  </conditionalFormatting>
  <conditionalFormatting sqref="C23">
    <cfRule type="containsText" dxfId="199" priority="181" operator="containsText" text="正">
      <formula>NOT(ISERROR(SEARCH("正",C23)))</formula>
    </cfRule>
    <cfRule type="containsText" dxfId="198" priority="182" operator="containsText" text="Ｇ">
      <formula>NOT(ISERROR(SEARCH("Ｇ",C23)))</formula>
    </cfRule>
    <cfRule type="containsText" dxfId="197" priority="183" operator="containsText" text="祝">
      <formula>NOT(ISERROR(SEARCH("祝",C23)))</formula>
    </cfRule>
    <cfRule type="containsText" dxfId="196" priority="184" operator="containsText" text="祝">
      <formula>NOT(ISERROR(SEARCH("祝",C23)))</formula>
    </cfRule>
    <cfRule type="containsText" dxfId="195" priority="185" operator="containsText" text="祝">
      <formula>NOT(ISERROR(SEARCH("祝",C23)))</formula>
    </cfRule>
    <cfRule type="containsText" dxfId="194" priority="186" operator="containsText" text="祝">
      <formula>NOT(ISERROR(SEARCH("祝",C23)))</formula>
    </cfRule>
    <cfRule type="containsText" dxfId="193" priority="187" operator="containsText" text="祝">
      <formula>NOT(ISERROR(SEARCH("祝",C23)))</formula>
    </cfRule>
    <cfRule type="containsText" dxfId="192" priority="188" operator="containsText" text="盆">
      <formula>NOT(ISERROR(SEARCH("盆",C23)))</formula>
    </cfRule>
  </conditionalFormatting>
  <conditionalFormatting sqref="D23">
    <cfRule type="containsText" dxfId="191" priority="173" operator="containsText" text="正">
      <formula>NOT(ISERROR(SEARCH("正",D23)))</formula>
    </cfRule>
    <cfRule type="containsText" dxfId="190" priority="174" operator="containsText" text="Ｇ">
      <formula>NOT(ISERROR(SEARCH("Ｇ",D23)))</formula>
    </cfRule>
    <cfRule type="containsText" dxfId="189" priority="175" operator="containsText" text="祝">
      <formula>NOT(ISERROR(SEARCH("祝",D23)))</formula>
    </cfRule>
    <cfRule type="containsText" dxfId="188" priority="176" operator="containsText" text="祝">
      <formula>NOT(ISERROR(SEARCH("祝",D23)))</formula>
    </cfRule>
    <cfRule type="containsText" dxfId="187" priority="177" operator="containsText" text="祝">
      <formula>NOT(ISERROR(SEARCH("祝",D23)))</formula>
    </cfRule>
    <cfRule type="containsText" dxfId="186" priority="178" operator="containsText" text="祝">
      <formula>NOT(ISERROR(SEARCH("祝",D23)))</formula>
    </cfRule>
    <cfRule type="containsText" dxfId="185" priority="179" operator="containsText" text="祝">
      <formula>NOT(ISERROR(SEARCH("祝",D23)))</formula>
    </cfRule>
    <cfRule type="containsText" dxfId="184" priority="180" operator="containsText" text="盆">
      <formula>NOT(ISERROR(SEARCH("盆",D23)))</formula>
    </cfRule>
  </conditionalFormatting>
  <conditionalFormatting sqref="J23">
    <cfRule type="containsText" dxfId="183" priority="165" operator="containsText" text="正">
      <formula>NOT(ISERROR(SEARCH("正",J23)))</formula>
    </cfRule>
    <cfRule type="containsText" dxfId="182" priority="166" operator="containsText" text="Ｇ">
      <formula>NOT(ISERROR(SEARCH("Ｇ",J23)))</formula>
    </cfRule>
    <cfRule type="containsText" dxfId="181" priority="167" operator="containsText" text="祝">
      <formula>NOT(ISERROR(SEARCH("祝",J23)))</formula>
    </cfRule>
    <cfRule type="containsText" dxfId="180" priority="168" operator="containsText" text="祝">
      <formula>NOT(ISERROR(SEARCH("祝",J23)))</formula>
    </cfRule>
    <cfRule type="containsText" dxfId="179" priority="169" operator="containsText" text="祝">
      <formula>NOT(ISERROR(SEARCH("祝",J23)))</formula>
    </cfRule>
    <cfRule type="containsText" dxfId="178" priority="170" operator="containsText" text="祝">
      <formula>NOT(ISERROR(SEARCH("祝",J23)))</formula>
    </cfRule>
    <cfRule type="containsText" dxfId="177" priority="171" operator="containsText" text="祝">
      <formula>NOT(ISERROR(SEARCH("祝",J23)))</formula>
    </cfRule>
    <cfRule type="containsText" dxfId="176" priority="172" operator="containsText" text="盆">
      <formula>NOT(ISERROR(SEARCH("盆",J23)))</formula>
    </cfRule>
  </conditionalFormatting>
  <conditionalFormatting sqref="K23">
    <cfRule type="containsText" dxfId="175" priority="157" operator="containsText" text="正">
      <formula>NOT(ISERROR(SEARCH("正",K23)))</formula>
    </cfRule>
    <cfRule type="containsText" dxfId="174" priority="158" operator="containsText" text="Ｇ">
      <formula>NOT(ISERROR(SEARCH("Ｇ",K23)))</formula>
    </cfRule>
    <cfRule type="containsText" dxfId="173" priority="159" operator="containsText" text="祝">
      <formula>NOT(ISERROR(SEARCH("祝",K23)))</formula>
    </cfRule>
    <cfRule type="containsText" dxfId="172" priority="160" operator="containsText" text="祝">
      <formula>NOT(ISERROR(SEARCH("祝",K23)))</formula>
    </cfRule>
    <cfRule type="containsText" dxfId="171" priority="161" operator="containsText" text="祝">
      <formula>NOT(ISERROR(SEARCH("祝",K23)))</formula>
    </cfRule>
    <cfRule type="containsText" dxfId="170" priority="162" operator="containsText" text="祝">
      <formula>NOT(ISERROR(SEARCH("祝",K23)))</formula>
    </cfRule>
    <cfRule type="containsText" dxfId="169" priority="163" operator="containsText" text="祝">
      <formula>NOT(ISERROR(SEARCH("祝",K23)))</formula>
    </cfRule>
    <cfRule type="containsText" dxfId="168" priority="164" operator="containsText" text="盆">
      <formula>NOT(ISERROR(SEARCH("盆",K23)))</formula>
    </cfRule>
  </conditionalFormatting>
  <conditionalFormatting sqref="Q23">
    <cfRule type="containsText" dxfId="167" priority="149" operator="containsText" text="正">
      <formula>NOT(ISERROR(SEARCH("正",Q23)))</formula>
    </cfRule>
    <cfRule type="containsText" dxfId="166" priority="150" operator="containsText" text="Ｇ">
      <formula>NOT(ISERROR(SEARCH("Ｇ",Q23)))</formula>
    </cfRule>
    <cfRule type="containsText" dxfId="165" priority="151" operator="containsText" text="祝">
      <formula>NOT(ISERROR(SEARCH("祝",Q23)))</formula>
    </cfRule>
    <cfRule type="containsText" dxfId="164" priority="152" operator="containsText" text="祝">
      <formula>NOT(ISERROR(SEARCH("祝",Q23)))</formula>
    </cfRule>
    <cfRule type="containsText" dxfId="163" priority="153" operator="containsText" text="祝">
      <formula>NOT(ISERROR(SEARCH("祝",Q23)))</formula>
    </cfRule>
    <cfRule type="containsText" dxfId="162" priority="154" operator="containsText" text="祝">
      <formula>NOT(ISERROR(SEARCH("祝",Q23)))</formula>
    </cfRule>
    <cfRule type="containsText" dxfId="161" priority="155" operator="containsText" text="祝">
      <formula>NOT(ISERROR(SEARCH("祝",Q23)))</formula>
    </cfRule>
    <cfRule type="containsText" dxfId="160" priority="156" operator="containsText" text="盆">
      <formula>NOT(ISERROR(SEARCH("盆",Q23)))</formula>
    </cfRule>
  </conditionalFormatting>
  <conditionalFormatting sqref="R23">
    <cfRule type="containsText" dxfId="159" priority="141" operator="containsText" text="正">
      <formula>NOT(ISERROR(SEARCH("正",R23)))</formula>
    </cfRule>
    <cfRule type="containsText" dxfId="158" priority="142" operator="containsText" text="Ｇ">
      <formula>NOT(ISERROR(SEARCH("Ｇ",R23)))</formula>
    </cfRule>
    <cfRule type="containsText" dxfId="157" priority="143" operator="containsText" text="祝">
      <formula>NOT(ISERROR(SEARCH("祝",R23)))</formula>
    </cfRule>
    <cfRule type="containsText" dxfId="156" priority="144" operator="containsText" text="祝">
      <formula>NOT(ISERROR(SEARCH("祝",R23)))</formula>
    </cfRule>
    <cfRule type="containsText" dxfId="155" priority="145" operator="containsText" text="祝">
      <formula>NOT(ISERROR(SEARCH("祝",R23)))</formula>
    </cfRule>
    <cfRule type="containsText" dxfId="154" priority="146" operator="containsText" text="祝">
      <formula>NOT(ISERROR(SEARCH("祝",R23)))</formula>
    </cfRule>
    <cfRule type="containsText" dxfId="153" priority="147" operator="containsText" text="祝">
      <formula>NOT(ISERROR(SEARCH("祝",R23)))</formula>
    </cfRule>
    <cfRule type="containsText" dxfId="152" priority="148" operator="containsText" text="盆">
      <formula>NOT(ISERROR(SEARCH("盆",R23)))</formula>
    </cfRule>
  </conditionalFormatting>
  <conditionalFormatting sqref="X23">
    <cfRule type="containsText" dxfId="151" priority="133" operator="containsText" text="正">
      <formula>NOT(ISERROR(SEARCH("正",X23)))</formula>
    </cfRule>
    <cfRule type="containsText" dxfId="150" priority="134" operator="containsText" text="Ｇ">
      <formula>NOT(ISERROR(SEARCH("Ｇ",X23)))</formula>
    </cfRule>
    <cfRule type="containsText" dxfId="149" priority="135" operator="containsText" text="祝">
      <formula>NOT(ISERROR(SEARCH("祝",X23)))</formula>
    </cfRule>
    <cfRule type="containsText" dxfId="148" priority="136" operator="containsText" text="祝">
      <formula>NOT(ISERROR(SEARCH("祝",X23)))</formula>
    </cfRule>
    <cfRule type="containsText" dxfId="147" priority="137" operator="containsText" text="祝">
      <formula>NOT(ISERROR(SEARCH("祝",X23)))</formula>
    </cfRule>
    <cfRule type="containsText" dxfId="146" priority="138" operator="containsText" text="祝">
      <formula>NOT(ISERROR(SEARCH("祝",X23)))</formula>
    </cfRule>
    <cfRule type="containsText" dxfId="145" priority="139" operator="containsText" text="祝">
      <formula>NOT(ISERROR(SEARCH("祝",X23)))</formula>
    </cfRule>
    <cfRule type="containsText" dxfId="144" priority="140" operator="containsText" text="盆">
      <formula>NOT(ISERROR(SEARCH("盆",X23)))</formula>
    </cfRule>
  </conditionalFormatting>
  <conditionalFormatting sqref="Y23">
    <cfRule type="containsText" dxfId="143" priority="125" operator="containsText" text="正">
      <formula>NOT(ISERROR(SEARCH("正",Y23)))</formula>
    </cfRule>
    <cfRule type="containsText" dxfId="142" priority="126" operator="containsText" text="Ｇ">
      <formula>NOT(ISERROR(SEARCH("Ｇ",Y23)))</formula>
    </cfRule>
    <cfRule type="containsText" dxfId="141" priority="127" operator="containsText" text="祝">
      <formula>NOT(ISERROR(SEARCH("祝",Y23)))</formula>
    </cfRule>
    <cfRule type="containsText" dxfId="140" priority="128" operator="containsText" text="祝">
      <formula>NOT(ISERROR(SEARCH("祝",Y23)))</formula>
    </cfRule>
    <cfRule type="containsText" dxfId="139" priority="129" operator="containsText" text="祝">
      <formula>NOT(ISERROR(SEARCH("祝",Y23)))</formula>
    </cfRule>
    <cfRule type="containsText" dxfId="138" priority="130" operator="containsText" text="祝">
      <formula>NOT(ISERROR(SEARCH("祝",Y23)))</formula>
    </cfRule>
    <cfRule type="containsText" dxfId="137" priority="131" operator="containsText" text="祝">
      <formula>NOT(ISERROR(SEARCH("祝",Y23)))</formula>
    </cfRule>
    <cfRule type="containsText" dxfId="136" priority="132" operator="containsText" text="盆">
      <formula>NOT(ISERROR(SEARCH("盆",Y23)))</formula>
    </cfRule>
  </conditionalFormatting>
  <conditionalFormatting sqref="H17:I17 L17:P17 S17:W17 Z17:AB17">
    <cfRule type="containsText" dxfId="135" priority="93" operator="containsText" text="正">
      <formula>NOT(ISERROR(SEARCH("正",H17)))</formula>
    </cfRule>
    <cfRule type="containsText" dxfId="134" priority="94" operator="containsText" text="Ｇ">
      <formula>NOT(ISERROR(SEARCH("Ｇ",H17)))</formula>
    </cfRule>
    <cfRule type="containsText" dxfId="133" priority="95" operator="containsText" text="祝">
      <formula>NOT(ISERROR(SEARCH("祝",H17)))</formula>
    </cfRule>
    <cfRule type="containsText" dxfId="132" priority="96" operator="containsText" text="祝">
      <formula>NOT(ISERROR(SEARCH("祝",H17)))</formula>
    </cfRule>
    <cfRule type="containsText" dxfId="131" priority="97" operator="containsText" text="祝">
      <formula>NOT(ISERROR(SEARCH("祝",H17)))</formula>
    </cfRule>
    <cfRule type="containsText" dxfId="130" priority="98" operator="containsText" text="祝">
      <formula>NOT(ISERROR(SEARCH("祝",H17)))</formula>
    </cfRule>
    <cfRule type="containsText" dxfId="129" priority="99" operator="containsText" text="祝">
      <formula>NOT(ISERROR(SEARCH("祝",H17)))</formula>
    </cfRule>
    <cfRule type="containsText" dxfId="128" priority="100" operator="containsText" text="盆">
      <formula>NOT(ISERROR(SEARCH("盆",H17)))</formula>
    </cfRule>
  </conditionalFormatting>
  <conditionalFormatting sqref="E17">
    <cfRule type="containsText" dxfId="127" priority="117" operator="containsText" text="正">
      <formula>NOT(ISERROR(SEARCH("正",E17)))</formula>
    </cfRule>
    <cfRule type="containsText" dxfId="126" priority="118" operator="containsText" text="Ｇ">
      <formula>NOT(ISERROR(SEARCH("Ｇ",E17)))</formula>
    </cfRule>
    <cfRule type="containsText" dxfId="125" priority="119" operator="containsText" text="祝">
      <formula>NOT(ISERROR(SEARCH("祝",E17)))</formula>
    </cfRule>
    <cfRule type="containsText" dxfId="124" priority="120" operator="containsText" text="祝">
      <formula>NOT(ISERROR(SEARCH("祝",E17)))</formula>
    </cfRule>
    <cfRule type="containsText" dxfId="123" priority="121" operator="containsText" text="祝">
      <formula>NOT(ISERROR(SEARCH("祝",E17)))</formula>
    </cfRule>
    <cfRule type="containsText" dxfId="122" priority="122" operator="containsText" text="祝">
      <formula>NOT(ISERROR(SEARCH("祝",E17)))</formula>
    </cfRule>
    <cfRule type="containsText" dxfId="121" priority="123" operator="containsText" text="祝">
      <formula>NOT(ISERROR(SEARCH("祝",E17)))</formula>
    </cfRule>
    <cfRule type="containsText" dxfId="120" priority="124" operator="containsText" text="盆">
      <formula>NOT(ISERROR(SEARCH("盆",E17)))</formula>
    </cfRule>
  </conditionalFormatting>
  <conditionalFormatting sqref="F17">
    <cfRule type="containsText" dxfId="119" priority="109" operator="containsText" text="正">
      <formula>NOT(ISERROR(SEARCH("正",F17)))</formula>
    </cfRule>
    <cfRule type="containsText" dxfId="118" priority="110" operator="containsText" text="Ｇ">
      <formula>NOT(ISERROR(SEARCH("Ｇ",F17)))</formula>
    </cfRule>
    <cfRule type="containsText" dxfId="117" priority="111" operator="containsText" text="祝">
      <formula>NOT(ISERROR(SEARCH("祝",F17)))</formula>
    </cfRule>
    <cfRule type="containsText" dxfId="116" priority="112" operator="containsText" text="祝">
      <formula>NOT(ISERROR(SEARCH("祝",F17)))</formula>
    </cfRule>
    <cfRule type="containsText" dxfId="115" priority="113" operator="containsText" text="祝">
      <formula>NOT(ISERROR(SEARCH("祝",F17)))</formula>
    </cfRule>
    <cfRule type="containsText" dxfId="114" priority="114" operator="containsText" text="祝">
      <formula>NOT(ISERROR(SEARCH("祝",F17)))</formula>
    </cfRule>
    <cfRule type="containsText" dxfId="113" priority="115" operator="containsText" text="祝">
      <formula>NOT(ISERROR(SEARCH("祝",F17)))</formula>
    </cfRule>
    <cfRule type="containsText" dxfId="112" priority="116" operator="containsText" text="盆">
      <formula>NOT(ISERROR(SEARCH("盆",F17)))</formula>
    </cfRule>
  </conditionalFormatting>
  <conditionalFormatting sqref="G17">
    <cfRule type="containsText" dxfId="111" priority="101" operator="containsText" text="正">
      <formula>NOT(ISERROR(SEARCH("正",G17)))</formula>
    </cfRule>
    <cfRule type="containsText" dxfId="110" priority="102" operator="containsText" text="Ｇ">
      <formula>NOT(ISERROR(SEARCH("Ｇ",G17)))</formula>
    </cfRule>
    <cfRule type="containsText" dxfId="109" priority="103" operator="containsText" text="祝">
      <formula>NOT(ISERROR(SEARCH("祝",G17)))</formula>
    </cfRule>
    <cfRule type="containsText" dxfId="108" priority="104" operator="containsText" text="祝">
      <formula>NOT(ISERROR(SEARCH("祝",G17)))</formula>
    </cfRule>
    <cfRule type="containsText" dxfId="107" priority="105" operator="containsText" text="祝">
      <formula>NOT(ISERROR(SEARCH("祝",G17)))</formula>
    </cfRule>
    <cfRule type="containsText" dxfId="106" priority="106" operator="containsText" text="祝">
      <formula>NOT(ISERROR(SEARCH("祝",G17)))</formula>
    </cfRule>
    <cfRule type="containsText" dxfId="105" priority="107" operator="containsText" text="祝">
      <formula>NOT(ISERROR(SEARCH("祝",G17)))</formula>
    </cfRule>
    <cfRule type="containsText" dxfId="104" priority="108" operator="containsText" text="盆">
      <formula>NOT(ISERROR(SEARCH("盆",G17)))</formula>
    </cfRule>
  </conditionalFormatting>
  <conditionalFormatting sqref="C17">
    <cfRule type="containsText" dxfId="103" priority="85" operator="containsText" text="正">
      <formula>NOT(ISERROR(SEARCH("正",C17)))</formula>
    </cfRule>
    <cfRule type="containsText" dxfId="102" priority="86" operator="containsText" text="Ｇ">
      <formula>NOT(ISERROR(SEARCH("Ｇ",C17)))</formula>
    </cfRule>
    <cfRule type="containsText" dxfId="101" priority="87" operator="containsText" text="祝">
      <formula>NOT(ISERROR(SEARCH("祝",C17)))</formula>
    </cfRule>
    <cfRule type="containsText" dxfId="100" priority="88" operator="containsText" text="祝">
      <formula>NOT(ISERROR(SEARCH("祝",C17)))</formula>
    </cfRule>
    <cfRule type="containsText" dxfId="99" priority="89" operator="containsText" text="祝">
      <formula>NOT(ISERROR(SEARCH("祝",C17)))</formula>
    </cfRule>
    <cfRule type="containsText" dxfId="98" priority="90" operator="containsText" text="祝">
      <formula>NOT(ISERROR(SEARCH("祝",C17)))</formula>
    </cfRule>
    <cfRule type="containsText" dxfId="97" priority="91" operator="containsText" text="祝">
      <formula>NOT(ISERROR(SEARCH("祝",C17)))</formula>
    </cfRule>
    <cfRule type="containsText" dxfId="96" priority="92" operator="containsText" text="盆">
      <formula>NOT(ISERROR(SEARCH("盆",C17)))</formula>
    </cfRule>
  </conditionalFormatting>
  <conditionalFormatting sqref="D17">
    <cfRule type="containsText" dxfId="95" priority="77" operator="containsText" text="正">
      <formula>NOT(ISERROR(SEARCH("正",D17)))</formula>
    </cfRule>
    <cfRule type="containsText" dxfId="94" priority="78" operator="containsText" text="Ｇ">
      <formula>NOT(ISERROR(SEARCH("Ｇ",D17)))</formula>
    </cfRule>
    <cfRule type="containsText" dxfId="93" priority="79" operator="containsText" text="祝">
      <formula>NOT(ISERROR(SEARCH("祝",D17)))</formula>
    </cfRule>
    <cfRule type="containsText" dxfId="92" priority="80" operator="containsText" text="祝">
      <formula>NOT(ISERROR(SEARCH("祝",D17)))</formula>
    </cfRule>
    <cfRule type="containsText" dxfId="91" priority="81" operator="containsText" text="祝">
      <formula>NOT(ISERROR(SEARCH("祝",D17)))</formula>
    </cfRule>
    <cfRule type="containsText" dxfId="90" priority="82" operator="containsText" text="祝">
      <formula>NOT(ISERROR(SEARCH("祝",D17)))</formula>
    </cfRule>
    <cfRule type="containsText" dxfId="89" priority="83" operator="containsText" text="祝">
      <formula>NOT(ISERROR(SEARCH("祝",D17)))</formula>
    </cfRule>
    <cfRule type="containsText" dxfId="88" priority="84" operator="containsText" text="盆">
      <formula>NOT(ISERROR(SEARCH("盆",D17)))</formula>
    </cfRule>
  </conditionalFormatting>
  <conditionalFormatting sqref="J17">
    <cfRule type="containsText" dxfId="87" priority="69" operator="containsText" text="正">
      <formula>NOT(ISERROR(SEARCH("正",J17)))</formula>
    </cfRule>
    <cfRule type="containsText" dxfId="86" priority="70" operator="containsText" text="Ｇ">
      <formula>NOT(ISERROR(SEARCH("Ｇ",J17)))</formula>
    </cfRule>
    <cfRule type="containsText" dxfId="85" priority="71" operator="containsText" text="祝">
      <formula>NOT(ISERROR(SEARCH("祝",J17)))</formula>
    </cfRule>
    <cfRule type="containsText" dxfId="84" priority="72" operator="containsText" text="祝">
      <formula>NOT(ISERROR(SEARCH("祝",J17)))</formula>
    </cfRule>
    <cfRule type="containsText" dxfId="83" priority="73" operator="containsText" text="祝">
      <formula>NOT(ISERROR(SEARCH("祝",J17)))</formula>
    </cfRule>
    <cfRule type="containsText" dxfId="82" priority="74" operator="containsText" text="祝">
      <formula>NOT(ISERROR(SEARCH("祝",J17)))</formula>
    </cfRule>
    <cfRule type="containsText" dxfId="81" priority="75" operator="containsText" text="祝">
      <formula>NOT(ISERROR(SEARCH("祝",J17)))</formula>
    </cfRule>
    <cfRule type="containsText" dxfId="80" priority="76" operator="containsText" text="盆">
      <formula>NOT(ISERROR(SEARCH("盆",J17)))</formula>
    </cfRule>
  </conditionalFormatting>
  <conditionalFormatting sqref="K17">
    <cfRule type="containsText" dxfId="79" priority="61" operator="containsText" text="正">
      <formula>NOT(ISERROR(SEARCH("正",K17)))</formula>
    </cfRule>
    <cfRule type="containsText" dxfId="78" priority="62" operator="containsText" text="Ｇ">
      <formula>NOT(ISERROR(SEARCH("Ｇ",K17)))</formula>
    </cfRule>
    <cfRule type="containsText" dxfId="77" priority="63" operator="containsText" text="祝">
      <formula>NOT(ISERROR(SEARCH("祝",K17)))</formula>
    </cfRule>
    <cfRule type="containsText" dxfId="76" priority="64" operator="containsText" text="祝">
      <formula>NOT(ISERROR(SEARCH("祝",K17)))</formula>
    </cfRule>
    <cfRule type="containsText" dxfId="75" priority="65" operator="containsText" text="祝">
      <formula>NOT(ISERROR(SEARCH("祝",K17)))</formula>
    </cfRule>
    <cfRule type="containsText" dxfId="74" priority="66" operator="containsText" text="祝">
      <formula>NOT(ISERROR(SEARCH("祝",K17)))</formula>
    </cfRule>
    <cfRule type="containsText" dxfId="73" priority="67" operator="containsText" text="祝">
      <formula>NOT(ISERROR(SEARCH("祝",K17)))</formula>
    </cfRule>
    <cfRule type="containsText" dxfId="72" priority="68" operator="containsText" text="盆">
      <formula>NOT(ISERROR(SEARCH("盆",K17)))</formula>
    </cfRule>
  </conditionalFormatting>
  <conditionalFormatting sqref="Q17">
    <cfRule type="containsText" dxfId="71" priority="53" operator="containsText" text="正">
      <formula>NOT(ISERROR(SEARCH("正",Q17)))</formula>
    </cfRule>
    <cfRule type="containsText" dxfId="70" priority="54" operator="containsText" text="Ｇ">
      <formula>NOT(ISERROR(SEARCH("Ｇ",Q17)))</formula>
    </cfRule>
    <cfRule type="containsText" dxfId="69" priority="55" operator="containsText" text="祝">
      <formula>NOT(ISERROR(SEARCH("祝",Q17)))</formula>
    </cfRule>
    <cfRule type="containsText" dxfId="68" priority="56" operator="containsText" text="祝">
      <formula>NOT(ISERROR(SEARCH("祝",Q17)))</formula>
    </cfRule>
    <cfRule type="containsText" dxfId="67" priority="57" operator="containsText" text="祝">
      <formula>NOT(ISERROR(SEARCH("祝",Q17)))</formula>
    </cfRule>
    <cfRule type="containsText" dxfId="66" priority="58" operator="containsText" text="祝">
      <formula>NOT(ISERROR(SEARCH("祝",Q17)))</formula>
    </cfRule>
    <cfRule type="containsText" dxfId="65" priority="59" operator="containsText" text="祝">
      <formula>NOT(ISERROR(SEARCH("祝",Q17)))</formula>
    </cfRule>
    <cfRule type="containsText" dxfId="64" priority="60" operator="containsText" text="盆">
      <formula>NOT(ISERROR(SEARCH("盆",Q17)))</formula>
    </cfRule>
  </conditionalFormatting>
  <conditionalFormatting sqref="R17">
    <cfRule type="containsText" dxfId="63" priority="45" operator="containsText" text="正">
      <formula>NOT(ISERROR(SEARCH("正",R17)))</formula>
    </cfRule>
    <cfRule type="containsText" dxfId="62" priority="46" operator="containsText" text="Ｇ">
      <formula>NOT(ISERROR(SEARCH("Ｇ",R17)))</formula>
    </cfRule>
    <cfRule type="containsText" dxfId="61" priority="47" operator="containsText" text="祝">
      <formula>NOT(ISERROR(SEARCH("祝",R17)))</formula>
    </cfRule>
    <cfRule type="containsText" dxfId="60" priority="48" operator="containsText" text="祝">
      <formula>NOT(ISERROR(SEARCH("祝",R17)))</formula>
    </cfRule>
    <cfRule type="containsText" dxfId="59" priority="49" operator="containsText" text="祝">
      <formula>NOT(ISERROR(SEARCH("祝",R17)))</formula>
    </cfRule>
    <cfRule type="containsText" dxfId="58" priority="50" operator="containsText" text="祝">
      <formula>NOT(ISERROR(SEARCH("祝",R17)))</formula>
    </cfRule>
    <cfRule type="containsText" dxfId="57" priority="51" operator="containsText" text="祝">
      <formula>NOT(ISERROR(SEARCH("祝",R17)))</formula>
    </cfRule>
    <cfRule type="containsText" dxfId="56" priority="52" operator="containsText" text="盆">
      <formula>NOT(ISERROR(SEARCH("盆",R17)))</formula>
    </cfRule>
  </conditionalFormatting>
  <conditionalFormatting sqref="X17">
    <cfRule type="containsText" dxfId="55" priority="37" operator="containsText" text="正">
      <formula>NOT(ISERROR(SEARCH("正",X17)))</formula>
    </cfRule>
    <cfRule type="containsText" dxfId="54" priority="38" operator="containsText" text="Ｇ">
      <formula>NOT(ISERROR(SEARCH("Ｇ",X17)))</formula>
    </cfRule>
    <cfRule type="containsText" dxfId="53" priority="39" operator="containsText" text="祝">
      <formula>NOT(ISERROR(SEARCH("祝",X17)))</formula>
    </cfRule>
    <cfRule type="containsText" dxfId="52" priority="40" operator="containsText" text="祝">
      <formula>NOT(ISERROR(SEARCH("祝",X17)))</formula>
    </cfRule>
    <cfRule type="containsText" dxfId="51" priority="41" operator="containsText" text="祝">
      <formula>NOT(ISERROR(SEARCH("祝",X17)))</formula>
    </cfRule>
    <cfRule type="containsText" dxfId="50" priority="42" operator="containsText" text="祝">
      <formula>NOT(ISERROR(SEARCH("祝",X17)))</formula>
    </cfRule>
    <cfRule type="containsText" dxfId="49" priority="43" operator="containsText" text="祝">
      <formula>NOT(ISERROR(SEARCH("祝",X17)))</formula>
    </cfRule>
    <cfRule type="containsText" dxfId="48" priority="44" operator="containsText" text="盆">
      <formula>NOT(ISERROR(SEARCH("盆",X17)))</formula>
    </cfRule>
  </conditionalFormatting>
  <conditionalFormatting sqref="Y17">
    <cfRule type="containsText" dxfId="47" priority="29" operator="containsText" text="正">
      <formula>NOT(ISERROR(SEARCH("正",Y17)))</formula>
    </cfRule>
    <cfRule type="containsText" dxfId="46" priority="30" operator="containsText" text="Ｇ">
      <formula>NOT(ISERROR(SEARCH("Ｇ",Y17)))</formula>
    </cfRule>
    <cfRule type="containsText" dxfId="45" priority="31" operator="containsText" text="祝">
      <formula>NOT(ISERROR(SEARCH("祝",Y17)))</formula>
    </cfRule>
    <cfRule type="containsText" dxfId="44" priority="32" operator="containsText" text="祝">
      <formula>NOT(ISERROR(SEARCH("祝",Y17)))</formula>
    </cfRule>
    <cfRule type="containsText" dxfId="43" priority="33" operator="containsText" text="祝">
      <formula>NOT(ISERROR(SEARCH("祝",Y17)))</formula>
    </cfRule>
    <cfRule type="containsText" dxfId="42" priority="34" operator="containsText" text="祝">
      <formula>NOT(ISERROR(SEARCH("祝",Y17)))</formula>
    </cfRule>
    <cfRule type="containsText" dxfId="41" priority="35" operator="containsText" text="祝">
      <formula>NOT(ISERROR(SEARCH("祝",Y17)))</formula>
    </cfRule>
    <cfRule type="containsText" dxfId="40" priority="36" operator="containsText" text="盆">
      <formula>NOT(ISERROR(SEARCH("盆",Y17)))</formula>
    </cfRule>
  </conditionalFormatting>
  <conditionalFormatting sqref="P24">
    <cfRule type="containsText" dxfId="39" priority="26" operator="containsText" text="正">
      <formula>NOT(ISERROR(SEARCH("正",P24)))</formula>
    </cfRule>
    <cfRule type="containsText" dxfId="38" priority="27" operator="containsText" text="盆">
      <formula>NOT(ISERROR(SEARCH("盆",P24)))</formula>
    </cfRule>
    <cfRule type="containsText" dxfId="37" priority="28" operator="containsText" text="Ｇ">
      <formula>NOT(ISERROR(SEARCH("Ｇ",P24)))</formula>
    </cfRule>
  </conditionalFormatting>
  <conditionalFormatting sqref="O24">
    <cfRule type="containsText" dxfId="36" priority="23" operator="containsText" text="正">
      <formula>NOT(ISERROR(SEARCH("正",O24)))</formula>
    </cfRule>
    <cfRule type="containsText" dxfId="35" priority="24" operator="containsText" text="盆">
      <formula>NOT(ISERROR(SEARCH("盆",O24)))</formula>
    </cfRule>
    <cfRule type="containsText" dxfId="34" priority="25" operator="containsText" text="Ｇ">
      <formula>NOT(ISERROR(SEARCH("Ｇ",O24)))</formula>
    </cfRule>
  </conditionalFormatting>
  <conditionalFormatting sqref="W24">
    <cfRule type="containsText" dxfId="33" priority="20" operator="containsText" text="正">
      <formula>NOT(ISERROR(SEARCH("正",W24)))</formula>
    </cfRule>
    <cfRule type="containsText" dxfId="32" priority="21" operator="containsText" text="盆">
      <formula>NOT(ISERROR(SEARCH("盆",W24)))</formula>
    </cfRule>
    <cfRule type="containsText" dxfId="31" priority="22" operator="containsText" text="Ｇ">
      <formula>NOT(ISERROR(SEARCH("Ｇ",W24)))</formula>
    </cfRule>
  </conditionalFormatting>
  <conditionalFormatting sqref="V24">
    <cfRule type="containsText" dxfId="30" priority="17" operator="containsText" text="正">
      <formula>NOT(ISERROR(SEARCH("正",V24)))</formula>
    </cfRule>
    <cfRule type="containsText" dxfId="29" priority="18" operator="containsText" text="盆">
      <formula>NOT(ISERROR(SEARCH("盆",V24)))</formula>
    </cfRule>
    <cfRule type="containsText" dxfId="28" priority="19" operator="containsText" text="Ｇ">
      <formula>NOT(ISERROR(SEARCH("Ｇ",V24)))</formula>
    </cfRule>
  </conditionalFormatting>
  <conditionalFormatting sqref="AC17:AD17">
    <cfRule type="containsText" dxfId="7" priority="1" operator="containsText" text="正">
      <formula>NOT(ISERROR(SEARCH("正",AC17)))</formula>
    </cfRule>
    <cfRule type="containsText" dxfId="6" priority="2" operator="containsText" text="Ｇ">
      <formula>NOT(ISERROR(SEARCH("Ｇ",AC17)))</formula>
    </cfRule>
    <cfRule type="containsText" dxfId="5" priority="3" operator="containsText" text="祝">
      <formula>NOT(ISERROR(SEARCH("祝",AC17)))</formula>
    </cfRule>
    <cfRule type="containsText" dxfId="4" priority="4" operator="containsText" text="祝">
      <formula>NOT(ISERROR(SEARCH("祝",AC17)))</formula>
    </cfRule>
    <cfRule type="containsText" dxfId="3" priority="5" operator="containsText" text="祝">
      <formula>NOT(ISERROR(SEARCH("祝",AC17)))</formula>
    </cfRule>
    <cfRule type="containsText" dxfId="2" priority="6" operator="containsText" text="祝">
      <formula>NOT(ISERROR(SEARCH("祝",AC17)))</formula>
    </cfRule>
    <cfRule type="containsText" dxfId="1" priority="7" operator="containsText" text="祝">
      <formula>NOT(ISERROR(SEARCH("祝",AC17)))</formula>
    </cfRule>
    <cfRule type="containsText" dxfId="0" priority="8" operator="containsText" text="盆">
      <formula>NOT(ISERROR(SEARCH("盆",AC17)))</formula>
    </cfRule>
  </conditionalFormatting>
  <dataValidations count="6">
    <dataValidation type="list" allowBlank="1" showInputMessage="1" showErrorMessage="1" sqref="AC3:AH3" xr:uid="{C0F05F51-3CAC-4AEF-9477-D145BF018118}">
      <formula1>$AE$136:$AE$139</formula1>
    </dataValidation>
    <dataValidation type="list" allowBlank="1" showInputMessage="1" showErrorMessage="1" sqref="C119:AD119 C131:AD131 C113:AD113 C29:AD29 C125:AD125 C35:AD35 C23:AD23 C41:AD41 C47:AD47 C53:AD53 C59:AD59 C65:AD65 C71:AD71 C77:AD77 C83:AD83 C89:AD89 C95:AD95 C101:AD101 C107:AD107 C17:AD17" xr:uid="{F323467C-7EDC-44A0-BC85-001527335FD7}">
      <formula1>$C$135:$C$141</formula1>
    </dataValidation>
    <dataValidation type="list" allowBlank="1" showInputMessage="1" showErrorMessage="1" sqref="C120:AD120 C126:AD126 C54:AD54 C30:AD30 C18:AD18 C36:AD36 C42:AD42 C48:AD48 C60:AD60 C66:AD66 C72:AD72 C78:AD78 C84:AD84 C90:AD90 C96:AD96 C102:AD102 C108:AD108 C114:AD114 C24:AD24" xr:uid="{161C094A-C053-4CCD-BFDB-BC3A396D0FD4}">
      <formula1>$D$135:$D$141</formula1>
    </dataValidation>
    <dataValidation type="list" allowBlank="1" showInputMessage="1" showErrorMessage="1" sqref="AE9:AH9" xr:uid="{E476AAD5-175B-4648-B2CF-EFBB0D01D55D}">
      <formula1>$F$136:$F$139</formula1>
    </dataValidation>
    <dataValidation type="list" allowBlank="1" showInputMessage="1" showErrorMessage="1" sqref="C132:AD132" xr:uid="{AA370333-98C8-42B3-983B-F4D2510CCF1E}">
      <formula1>$D$135:$D$142</formula1>
    </dataValidation>
    <dataValidation type="list" allowBlank="1" showInputMessage="1" showErrorMessage="1" sqref="E8:G8" xr:uid="{4B9CB054-787F-4615-90AF-A423CEBE064D}">
      <formula1>$G$136:$G$138</formula1>
    </dataValidation>
  </dataValidations>
  <pageMargins left="0.70866141732283472" right="0.31496062992125984" top="0.55118110236220474" bottom="0.35433070866141736" header="0.31496062992125984" footer="0"/>
  <pageSetup paperSize="9" scale="37" fitToHeight="0" orientation="portrait" r:id="rId1"/>
  <headerFooter>
    <oddFooter>&amp;C&amp;24&amp;P/&amp;N</oddFooter>
  </headerFooter>
  <rowBreaks count="3" manualBreakCount="3">
    <brk id="54" max="36" man="1"/>
    <brk id="102" max="33" man="1"/>
    <brk id="134" max="16383" man="1"/>
  </rowBreaks>
  <colBreaks count="1" manualBreakCount="1">
    <brk id="2" max="1048575"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E5EB7-DCE2-472C-B5EB-887ACB1C2C29}">
  <sheetPr>
    <tabColor theme="7" tint="0.79998168889431442"/>
    <pageSetUpPr fitToPage="1"/>
  </sheetPr>
  <dimension ref="A1:BJ40"/>
  <sheetViews>
    <sheetView view="pageBreakPreview" zoomScale="85" zoomScaleNormal="100" zoomScaleSheetLayoutView="85" workbookViewId="0">
      <selection activeCell="R29" sqref="R29:AN29"/>
    </sheetView>
  </sheetViews>
  <sheetFormatPr defaultRowHeight="13.5"/>
  <cols>
    <col min="1" max="41" width="1.875" style="91" customWidth="1"/>
    <col min="42" max="42" width="11.625" style="91" hidden="1" customWidth="1"/>
    <col min="43" max="43" width="40.75" style="91" hidden="1" customWidth="1"/>
    <col min="44" max="45" width="29.625" style="91" hidden="1" customWidth="1"/>
    <col min="46" max="46" width="36.125" style="91" hidden="1" customWidth="1"/>
    <col min="47" max="47" width="9.5" style="91" hidden="1" customWidth="1"/>
    <col min="48" max="48" width="16.125" style="91" hidden="1" customWidth="1"/>
    <col min="49" max="49" width="5.625" style="91" customWidth="1"/>
    <col min="50" max="50" width="9" style="91"/>
    <col min="51" max="51" width="13.875" style="91" bestFit="1" customWidth="1"/>
    <col min="52" max="52" width="71.625" style="91" bestFit="1" customWidth="1"/>
    <col min="53" max="16384" width="9" style="91"/>
  </cols>
  <sheetData>
    <row r="1" spans="1:53" ht="19.5" customHeight="1" thickBot="1">
      <c r="A1" s="380" t="s">
        <v>269</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259"/>
      <c r="AO1" s="94"/>
      <c r="AR1" s="270" t="s">
        <v>307</v>
      </c>
      <c r="AS1" s="271" t="s">
        <v>303</v>
      </c>
      <c r="AT1" s="271" t="s">
        <v>304</v>
      </c>
      <c r="AU1" s="271" t="s">
        <v>305</v>
      </c>
      <c r="AV1" s="272"/>
    </row>
    <row r="2" spans="1:53" ht="19.5" customHeight="1">
      <c r="A2" s="234"/>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Q2" s="232"/>
      <c r="AR2" s="260" t="s">
        <v>300</v>
      </c>
      <c r="AS2" s="261"/>
      <c r="AT2" s="261" cm="1">
        <f t="array" aca="1" ref="AT2" ca="1">INDEX(INDIRECT($AQ$9),6,$AQ$4-A13+1)</f>
        <v>0</v>
      </c>
      <c r="AU2" s="261" t="str">
        <f ca="1">IF(U25&lt;$AQ$4,"該当","非該当")</f>
        <v>非該当</v>
      </c>
      <c r="AV2" s="262" t="str">
        <f ca="1">IF(A12&lt;$AQ$4,"該当","非該当")</f>
        <v>該当</v>
      </c>
    </row>
    <row r="3" spans="1:53" ht="19.5" customHeight="1">
      <c r="A3" s="381" t="s">
        <v>53</v>
      </c>
      <c r="B3" s="381"/>
      <c r="C3" s="381"/>
      <c r="D3" s="381"/>
      <c r="E3" s="381"/>
      <c r="F3" s="381"/>
      <c r="G3" s="234" t="s">
        <v>343</v>
      </c>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R3" s="263" t="s">
        <v>301</v>
      </c>
      <c r="AS3" s="96" t="e" cm="1" vm="1">
        <f t="array" aca="1" ref="AS3" ca="1">INDEX(INDIRECT($AQ$10),5,A12-INDEX($AR$12:$AR$31,MATCH(FALSE,INDEX($AQ$12:$AQ$31="",0),0)-1,1)+1)</f>
        <v>#VALUE!</v>
      </c>
      <c r="AT3" s="96" t="e" cm="1" vm="1">
        <f t="array" aca="1" ref="AT3" ca="1">INDEX(INDIRECT($AQ$10),6,A12-INDEX($AR$12:$AR$31,MATCH(FALSE,INDEX($AQ$12:$AQ$31="",0),0)-1,1)+1)</f>
        <v>#VALUE!</v>
      </c>
      <c r="AU3" s="96" t="str">
        <f ca="1">IF(A13&lt;$AQ$4,"該当","非該当")</f>
        <v>該当</v>
      </c>
      <c r="AV3" s="264" t="str">
        <f ca="1">IF(A12&lt;$AQ$4,"該当","非該当")</f>
        <v>該当</v>
      </c>
      <c r="AW3" s="382" t="s">
        <v>36</v>
      </c>
      <c r="AX3" s="382"/>
      <c r="AY3" s="382"/>
      <c r="AZ3" s="383"/>
    </row>
    <row r="4" spans="1:53" ht="19.5" customHeight="1" thickBot="1">
      <c r="A4" s="381" t="s">
        <v>255</v>
      </c>
      <c r="B4" s="381"/>
      <c r="C4" s="381"/>
      <c r="D4" s="381"/>
      <c r="E4" s="381"/>
      <c r="F4" s="381"/>
      <c r="G4" s="384">
        <f>休日取得計画表兼実施報告書!E6</f>
        <v>45748</v>
      </c>
      <c r="H4" s="384"/>
      <c r="I4" s="384"/>
      <c r="J4" s="384"/>
      <c r="K4" s="384"/>
      <c r="L4" s="384"/>
      <c r="M4" s="384"/>
      <c r="N4" s="384"/>
      <c r="O4" s="384"/>
      <c r="P4" s="385" t="s">
        <v>256</v>
      </c>
      <c r="Q4" s="385"/>
      <c r="R4" s="385"/>
      <c r="S4" s="386">
        <f>休日取得計画表兼実施報告書!N6</f>
        <v>45781</v>
      </c>
      <c r="T4" s="386"/>
      <c r="U4" s="386"/>
      <c r="V4" s="386"/>
      <c r="W4" s="386"/>
      <c r="X4" s="386"/>
      <c r="Y4" s="386"/>
      <c r="Z4" s="386"/>
      <c r="AA4" s="386"/>
      <c r="AB4" s="381" t="s">
        <v>257</v>
      </c>
      <c r="AC4" s="381"/>
      <c r="AD4" s="381"/>
      <c r="AE4" s="234"/>
      <c r="AF4" s="234"/>
      <c r="AG4" s="234"/>
      <c r="AH4" s="234"/>
      <c r="AI4" s="234"/>
      <c r="AJ4" s="234"/>
      <c r="AK4" s="234"/>
      <c r="AL4" s="234"/>
      <c r="AM4" s="234"/>
      <c r="AN4" s="234"/>
      <c r="AP4" s="92" t="s">
        <v>299</v>
      </c>
      <c r="AQ4" s="107" cm="1">
        <f t="array" aca="1" ref="AQ4" ca="1">INDIRECT(AQ11)</f>
        <v>45754</v>
      </c>
      <c r="AR4" s="265" t="s">
        <v>302</v>
      </c>
      <c r="AS4" s="266" t="e" cm="1">
        <f t="array" aca="1" ref="AS4" ca="1">INDEX(INDIRECT($AS$10),5,INDEX($AR$12:$AR$31,MATCH(FALSE,INDEX($AQ$12:$AQ$31="",0),0)+1,1,1)-A12+1)</f>
        <v>#VALUE!</v>
      </c>
      <c r="AT4" s="267" t="e" cm="1">
        <f t="array" aca="1" ref="AT4" ca="1">INDEX(INDIRECT($AS$10),6,INDEX(AR12:AR31,MATCH(FALSE,INDEX(AQ12:AQ31="",0),0)+1,1,1)-U25+1)</f>
        <v>#VALUE!</v>
      </c>
      <c r="AU4" s="268" t="str" cm="1">
        <f t="array" ref="AU4">IF(INDEX(AR12:AR31,MATCH(FALSE,INDEX(AQ12:AQ31="",0),0)+1,1,1)&lt;=U25,"該当","非該当")</f>
        <v>非該当</v>
      </c>
      <c r="AV4" s="269" t="str" cm="1">
        <f t="array" ref="AV4">IF(INDEX(AR12:AR31,MATCH(FALSE,INDEX(AQ12:AQ31="",0),0)+1,1,1)&lt;=U26,"非該当","該当")</f>
        <v>非該当</v>
      </c>
      <c r="AW4" s="387" t="s">
        <v>37</v>
      </c>
      <c r="AX4" s="106" t="s">
        <v>10</v>
      </c>
      <c r="AY4" s="106" t="s">
        <v>16</v>
      </c>
      <c r="AZ4" s="96"/>
    </row>
    <row r="5" spans="1:53" ht="19.5" customHeight="1">
      <c r="A5" s="234"/>
      <c r="B5" s="381" t="s">
        <v>258</v>
      </c>
      <c r="C5" s="381"/>
      <c r="D5" s="381"/>
      <c r="E5" s="381"/>
      <c r="F5" s="381"/>
      <c r="G5" s="381"/>
      <c r="H5" s="381"/>
      <c r="I5" s="381"/>
      <c r="J5" s="384">
        <f>休日取得計画表兼実施報告書!H7</f>
        <v>45755</v>
      </c>
      <c r="K5" s="384"/>
      <c r="L5" s="384"/>
      <c r="M5" s="384"/>
      <c r="N5" s="384"/>
      <c r="O5" s="384"/>
      <c r="P5" s="384"/>
      <c r="Q5" s="384"/>
      <c r="R5" s="384"/>
      <c r="S5" s="389" t="s">
        <v>25</v>
      </c>
      <c r="T5" s="389"/>
      <c r="U5" s="381" t="s">
        <v>30</v>
      </c>
      <c r="V5" s="381"/>
      <c r="W5" s="381"/>
      <c r="X5" s="381"/>
      <c r="Y5" s="381"/>
      <c r="Z5" s="381"/>
      <c r="AA5" s="381"/>
      <c r="AB5" s="384">
        <f>休日取得計画表兼実施報告書!Q7</f>
        <v>45781</v>
      </c>
      <c r="AC5" s="384"/>
      <c r="AD5" s="384"/>
      <c r="AE5" s="384"/>
      <c r="AF5" s="384"/>
      <c r="AG5" s="384"/>
      <c r="AH5" s="384"/>
      <c r="AI5" s="384"/>
      <c r="AJ5" s="384"/>
      <c r="AK5" s="234" t="s">
        <v>12</v>
      </c>
      <c r="AL5" s="234"/>
      <c r="AM5" s="234"/>
      <c r="AN5" s="234"/>
      <c r="AP5" s="248" t="s">
        <v>115</v>
      </c>
      <c r="AQ5" s="249">
        <f>休日取得計画表兼実施報告書!AK3</f>
        <v>45754</v>
      </c>
      <c r="AR5" s="249"/>
      <c r="AS5" s="249"/>
      <c r="AT5" s="91" t="s">
        <v>306</v>
      </c>
      <c r="AW5" s="388"/>
      <c r="AX5" s="106" t="s">
        <v>18</v>
      </c>
      <c r="AY5" s="106" t="s">
        <v>46</v>
      </c>
      <c r="AZ5" s="96" t="s">
        <v>42</v>
      </c>
    </row>
    <row r="6" spans="1:53" ht="19.5" customHeight="1" thickBot="1">
      <c r="A6" s="381" t="s">
        <v>259</v>
      </c>
      <c r="B6" s="381"/>
      <c r="C6" s="381"/>
      <c r="D6" s="381"/>
      <c r="E6" s="381"/>
      <c r="F6" s="381"/>
      <c r="G6" s="385" t="s">
        <v>260</v>
      </c>
      <c r="H6" s="385"/>
      <c r="I6" s="385"/>
      <c r="J6" s="390">
        <v>7</v>
      </c>
      <c r="K6" s="390"/>
      <c r="L6" s="381" t="s">
        <v>261</v>
      </c>
      <c r="M6" s="381"/>
      <c r="N6" s="390">
        <v>4</v>
      </c>
      <c r="O6" s="390"/>
      <c r="P6" s="381" t="s">
        <v>262</v>
      </c>
      <c r="Q6" s="381"/>
      <c r="R6" s="381"/>
      <c r="S6" s="234"/>
      <c r="T6" s="234"/>
      <c r="U6" s="283"/>
      <c r="V6" s="234"/>
      <c r="W6" s="234"/>
      <c r="X6" s="234"/>
      <c r="Y6" s="234"/>
      <c r="Z6" s="234"/>
      <c r="AA6" s="234"/>
      <c r="AB6" s="234"/>
      <c r="AC6" s="234"/>
      <c r="AD6" s="234"/>
      <c r="AE6" s="234"/>
      <c r="AF6" s="234"/>
      <c r="AG6" s="234"/>
      <c r="AH6" s="234"/>
      <c r="AI6" s="234"/>
      <c r="AJ6" s="234"/>
      <c r="AK6" s="234"/>
      <c r="AL6" s="234"/>
      <c r="AM6" s="234"/>
      <c r="AN6" s="234"/>
      <c r="AP6" s="91" t="s">
        <v>265</v>
      </c>
      <c r="AQ6" s="95">
        <f>休日取得計画表兼実施報告書!AK2</f>
        <v>45755</v>
      </c>
      <c r="AR6" s="95" t="s">
        <v>272</v>
      </c>
      <c r="AS6" s="95">
        <f>DATE(YEAR(AQ6),MONTH(AQ6),1)</f>
        <v>45748</v>
      </c>
      <c r="AW6" s="391" t="s">
        <v>58</v>
      </c>
      <c r="AX6" s="106" t="s">
        <v>31</v>
      </c>
      <c r="AY6" s="106" t="s">
        <v>44</v>
      </c>
      <c r="AZ6" s="96" t="s">
        <v>309</v>
      </c>
    </row>
    <row r="7" spans="1:53" ht="19.5" customHeight="1" thickBot="1">
      <c r="A7" s="235"/>
      <c r="B7" s="235"/>
      <c r="C7" s="235"/>
      <c r="D7" s="235"/>
      <c r="E7" s="235"/>
      <c r="F7" s="235"/>
      <c r="G7" s="235"/>
      <c r="H7" s="235"/>
      <c r="I7" s="235"/>
      <c r="J7" s="235"/>
      <c r="K7" s="235"/>
      <c r="L7" s="235"/>
      <c r="M7" s="235"/>
      <c r="N7" s="235"/>
      <c r="O7" s="235"/>
      <c r="P7" s="235"/>
      <c r="Q7" s="235"/>
      <c r="R7" s="235"/>
      <c r="S7" s="234"/>
      <c r="T7" s="234"/>
      <c r="U7" s="392" t="s">
        <v>341</v>
      </c>
      <c r="V7" s="393"/>
      <c r="W7" s="393"/>
      <c r="X7" s="393"/>
      <c r="Y7" s="393"/>
      <c r="Z7" s="394"/>
      <c r="AA7" s="395">
        <f ca="1">IF(AS6=AQ7,AQ8-AQ6+1-COUNTIF(N12:T27,"夏")-COUNTIF(N12:T27,"正")-COUNTIF(N12:T27,"止")-COUNTIF(N12:T27,"準")-COUNTIF(N12:T27,"完")-COUNTIF(AH12:AN27,"夏")-COUNTIF(AH12:AN27,"正")-COUNTIF(AH12:AN27,"止")-COUNTIF(AH12:AN27,"準")-COUNTIF(AH12:AN27,"完"),DAY(AQ8)-COUNTIF(N12:T27,"夏")-COUNTIF(N12:T27,"正")-COUNTIF(N12:T27,"止")-COUNTIF(N12:T27,"準")-COUNTIF(N12:T27,"完")-COUNTIF(AH12:AN27,"夏")-COUNTIF(AH12:AN27,"正")-COUNTIF(AH12:AN27,"止")-COUNTIF(AH12:AN27,"準")-COUNTIF(AH12:AN27,"完"))</f>
        <v>23</v>
      </c>
      <c r="AB7" s="396"/>
      <c r="AC7" s="396"/>
      <c r="AD7" s="396"/>
      <c r="AE7" s="396"/>
      <c r="AF7" s="396"/>
      <c r="AG7" s="397"/>
      <c r="AH7" s="234"/>
      <c r="AI7" s="234"/>
      <c r="AJ7" s="381"/>
      <c r="AK7" s="381"/>
      <c r="AL7" s="381"/>
      <c r="AM7" s="381"/>
      <c r="AN7" s="234"/>
      <c r="AP7" s="91" t="s">
        <v>268</v>
      </c>
      <c r="AQ7" s="253">
        <f>DATE(YEAR(AR7),MONTH(AR7),1)</f>
        <v>45748</v>
      </c>
      <c r="AR7" s="91" t="str">
        <f>"令和"&amp;J6&amp;"年"&amp;N6&amp;"月１日"</f>
        <v>令和7年4月１日</v>
      </c>
      <c r="AU7" s="107"/>
      <c r="AW7" s="388"/>
      <c r="AX7" s="106" t="s">
        <v>39</v>
      </c>
      <c r="AY7" s="106" t="s">
        <v>47</v>
      </c>
      <c r="AZ7" s="96" t="s">
        <v>308</v>
      </c>
    </row>
    <row r="8" spans="1:53" ht="19.5" customHeight="1">
      <c r="A8" s="235"/>
      <c r="B8" s="235"/>
      <c r="C8" s="235"/>
      <c r="D8" s="235"/>
      <c r="E8" s="235"/>
      <c r="F8" s="235"/>
      <c r="G8" s="234"/>
      <c r="H8" s="234"/>
      <c r="I8" s="234"/>
      <c r="J8" s="234"/>
      <c r="K8" s="234"/>
      <c r="L8" s="234"/>
      <c r="M8" s="234"/>
      <c r="N8" s="234"/>
      <c r="O8" s="234"/>
      <c r="P8" s="234"/>
      <c r="Q8" s="234"/>
      <c r="R8" s="234"/>
      <c r="S8" s="234"/>
      <c r="T8" s="234"/>
      <c r="U8" s="398" t="s">
        <v>56</v>
      </c>
      <c r="V8" s="399"/>
      <c r="W8" s="399"/>
      <c r="X8" s="399"/>
      <c r="Y8" s="399"/>
      <c r="Z8" s="400"/>
      <c r="AA8" s="395">
        <f ca="1">COUNTIF(AH12:AN27,"休")+COUNTIF(AH12:AN27,"代")+COUNTIF(N12:T27,"休")+COUNTIF(N12:T27,"代")</f>
        <v>0</v>
      </c>
      <c r="AB8" s="396"/>
      <c r="AC8" s="396"/>
      <c r="AD8" s="396"/>
      <c r="AE8" s="396"/>
      <c r="AF8" s="396"/>
      <c r="AG8" s="397"/>
      <c r="AH8" s="234"/>
      <c r="AI8" s="234"/>
      <c r="AJ8" s="234"/>
      <c r="AK8" s="234"/>
      <c r="AL8" s="234"/>
      <c r="AM8" s="234"/>
      <c r="AN8" s="234"/>
      <c r="AP8" s="91" t="s">
        <v>270</v>
      </c>
      <c r="AQ8" s="95">
        <f>EOMONTH(AR7,0)</f>
        <v>45777</v>
      </c>
      <c r="AR8" s="95"/>
      <c r="AS8" s="95"/>
      <c r="AT8" s="107"/>
      <c r="AW8" s="388"/>
      <c r="AX8" s="116" t="s">
        <v>33</v>
      </c>
      <c r="AY8" s="106" t="s">
        <v>49</v>
      </c>
      <c r="AZ8" s="96" t="s">
        <v>50</v>
      </c>
    </row>
    <row r="9" spans="1:53" ht="19.5" customHeight="1">
      <c r="A9" s="258"/>
      <c r="B9" s="234"/>
      <c r="C9" s="234"/>
      <c r="D9" s="234"/>
      <c r="E9" s="234"/>
      <c r="F9" s="234"/>
      <c r="G9" s="234"/>
      <c r="H9" s="234"/>
      <c r="I9" s="234"/>
      <c r="J9" s="234"/>
      <c r="K9" s="234"/>
      <c r="L9" s="234"/>
      <c r="M9" s="234"/>
      <c r="N9" s="234"/>
      <c r="O9" s="234"/>
      <c r="P9" s="234"/>
      <c r="Q9" s="234"/>
      <c r="R9" s="234"/>
      <c r="S9" s="234"/>
      <c r="T9" s="234"/>
      <c r="U9" s="401" t="s">
        <v>55</v>
      </c>
      <c r="V9" s="402"/>
      <c r="W9" s="402"/>
      <c r="X9" s="402"/>
      <c r="Y9" s="402"/>
      <c r="Z9" s="403"/>
      <c r="AA9" s="404">
        <f ca="1">ROUNDDOWN(AA8/AA7,4)</f>
        <v>0</v>
      </c>
      <c r="AB9" s="405"/>
      <c r="AC9" s="405"/>
      <c r="AD9" s="405"/>
      <c r="AE9" s="405"/>
      <c r="AF9" s="405"/>
      <c r="AG9" s="406"/>
      <c r="AH9" s="234"/>
      <c r="AI9" s="234"/>
      <c r="AJ9" s="234"/>
      <c r="AK9" s="234"/>
      <c r="AL9" s="234"/>
      <c r="AM9" s="234"/>
      <c r="AN9" s="234"/>
      <c r="AP9" s="91" t="s">
        <v>275</v>
      </c>
      <c r="AQ9" s="95" t="str">
        <f>VLOOKUP(TEXT(AQ11,),AQ12:AS31,3,FALSE)&amp;"："&amp;VLOOKUP(TEXT(AQ11,),AQ12:AT31,4,FALSE)</f>
        <v>休日取得計画表兼実施報告書!C13：AD18</v>
      </c>
      <c r="AR9" s="95" t="s">
        <v>276</v>
      </c>
      <c r="AS9" s="95"/>
      <c r="AW9" s="388"/>
      <c r="AX9" s="106" t="s">
        <v>35</v>
      </c>
      <c r="AY9" s="106" t="s">
        <v>52</v>
      </c>
      <c r="AZ9" s="96" t="s">
        <v>45</v>
      </c>
    </row>
    <row r="10" spans="1:53" ht="19.5" customHeight="1" thickBot="1">
      <c r="A10" s="234"/>
      <c r="B10" s="234"/>
      <c r="C10" s="234"/>
      <c r="D10" s="234"/>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c r="AP10" s="91" t="s">
        <v>297</v>
      </c>
      <c r="AQ10" s="255" t="e" cm="1" vm="1">
        <f t="array" aca="1" ref="AQ10" ca="1">INDEX(AS12:AS31,MATCH(FALSE,INDEX(AQ12:AQ31="",0),0)-1,1)&amp;"："&amp;INDEX(AT12:AT31,MATCH(FALSE,INDEX(AQ12:AQ31="",0),0)-1,1)</f>
        <v>#VALUE!</v>
      </c>
      <c r="AR10" s="91" t="s">
        <v>298</v>
      </c>
      <c r="AS10" s="91" t="str" cm="1">
        <f t="array" ref="AS10">INDEX(AS12:AS31,MATCH(FALSE,INDEX(AQ12:AQ31="",0),0)+1,1)&amp;"："&amp;INDEX(AT12:AT31,MATCH(FALSE,INDEX(AQ12:AQ31="",0),0)+1,1)</f>
        <v>休日取得計画表兼実施報告書!C19：AD24</v>
      </c>
      <c r="AW10" s="388"/>
      <c r="AX10" s="106" t="s">
        <v>17</v>
      </c>
      <c r="AY10" s="106" t="s">
        <v>51</v>
      </c>
      <c r="AZ10" s="96" t="s">
        <v>310</v>
      </c>
    </row>
    <row r="11" spans="1:53" ht="19.5" customHeight="1" thickBot="1">
      <c r="A11" s="418" t="s">
        <v>263</v>
      </c>
      <c r="B11" s="408"/>
      <c r="C11" s="409"/>
      <c r="D11" s="407" t="s">
        <v>2</v>
      </c>
      <c r="E11" s="408"/>
      <c r="F11" s="409"/>
      <c r="G11" s="407" t="s">
        <v>4</v>
      </c>
      <c r="H11" s="408"/>
      <c r="I11" s="408"/>
      <c r="J11" s="408"/>
      <c r="K11" s="408"/>
      <c r="L11" s="408"/>
      <c r="M11" s="409"/>
      <c r="N11" s="407" t="s">
        <v>5</v>
      </c>
      <c r="O11" s="408"/>
      <c r="P11" s="408"/>
      <c r="Q11" s="408"/>
      <c r="R11" s="408"/>
      <c r="S11" s="408"/>
      <c r="T11" s="419"/>
      <c r="U11" s="408" t="s">
        <v>263</v>
      </c>
      <c r="V11" s="408"/>
      <c r="W11" s="409"/>
      <c r="X11" s="407" t="s">
        <v>2</v>
      </c>
      <c r="Y11" s="408"/>
      <c r="Z11" s="409"/>
      <c r="AA11" s="407" t="s">
        <v>4</v>
      </c>
      <c r="AB11" s="408"/>
      <c r="AC11" s="408"/>
      <c r="AD11" s="408"/>
      <c r="AE11" s="408"/>
      <c r="AF11" s="408"/>
      <c r="AG11" s="409"/>
      <c r="AH11" s="407" t="s">
        <v>5</v>
      </c>
      <c r="AI11" s="408"/>
      <c r="AJ11" s="408"/>
      <c r="AK11" s="408"/>
      <c r="AL11" s="408"/>
      <c r="AM11" s="408"/>
      <c r="AN11" s="410"/>
      <c r="AO11" s="252"/>
      <c r="AP11" s="254" t="s">
        <v>267</v>
      </c>
      <c r="AQ11" s="254" t="str" cm="1">
        <f t="array" ref="AQ11">INDEX(AQ12:AQ31,MATCH(FALSE,INDEX(AQ12:AQ31="",0),0))</f>
        <v>A18</v>
      </c>
      <c r="AR11" s="98" t="s">
        <v>266</v>
      </c>
      <c r="AS11" s="98"/>
      <c r="AT11" s="98"/>
      <c r="AU11" s="98" t="s">
        <v>271</v>
      </c>
      <c r="AW11" s="250"/>
      <c r="AX11" s="93"/>
      <c r="AY11" s="243"/>
      <c r="AZ11" s="93"/>
      <c r="BA11" s="244" t="s">
        <v>264</v>
      </c>
    </row>
    <row r="12" spans="1:53" ht="19.5" customHeight="1">
      <c r="A12" s="411">
        <f>AQ7</f>
        <v>45748</v>
      </c>
      <c r="B12" s="412"/>
      <c r="C12" s="412"/>
      <c r="D12" s="413" t="str">
        <f>TEXT(A12,"aaa")</f>
        <v>火</v>
      </c>
      <c r="E12" s="413"/>
      <c r="F12" s="413"/>
      <c r="G12" s="414" t="str" cm="1">
        <f t="array" aca="1" ref="G12" ca="1">IFERROR(IF($AQ$6&lt;=A12,IF(A12&lt;$AQ$4,INDEX(INDIRECT($AQ$10),5,A12-INDEX($AR$12:$AR$31,MATCH(FALSE,INDEX($AQ$12:$AQ$31="",0),0)-1,1)+1),IF(INDEX($AR$12:$AR$31,MATCH(FALSE,INDEX($AQ$12:$AQ$31="",0),0)+1,1,1)&lt;=A12,INDEX(INDIRECT($AS$10),5,INDEX($AR$12:$AR$31,MATCH(FALSE,INDEX($AQ$12:$AQ$31="",0),0)+1,1,1)-A12+1),INDEX(INDIRECT($AQ$9),5,A12-$AQ$4+1))),""),"")</f>
        <v/>
      </c>
      <c r="H12" s="414"/>
      <c r="I12" s="414"/>
      <c r="J12" s="414"/>
      <c r="K12" s="414"/>
      <c r="L12" s="414"/>
      <c r="M12" s="414"/>
      <c r="N12" s="414" t="str" cm="1">
        <f t="array" aca="1" ref="N12" ca="1">IFERROR(IF($AQ$6&lt;=A12,(IF(A12&lt;$AQ$4,INDEX(INDIRECT($AQ$10),6,A12-INDEX($AR$12:$AR$31,MATCH(FALSE,INDEX($AQ$12:$AQ$31="",0),0)-1,1)+1),IF(INDEX($AR$12:$AR$31,MATCH(FALSE,INDEX($AQ$12:$AQ$31="",0),0)+1,1,1)&lt;=A12,INDEX(INDIRECT($AS$10),6,INDEX($AR$12:$AR$31,MATCH(FALSE,INDEX($AQ$12:$AQ$31="",0),0)+1,1,1)-A12+1),INDEX(INDIRECT($AQ$9),6,A12-$AQ$4+1)))),""),"")</f>
        <v/>
      </c>
      <c r="O12" s="414"/>
      <c r="P12" s="414"/>
      <c r="Q12" s="414"/>
      <c r="R12" s="414"/>
      <c r="S12" s="414"/>
      <c r="T12" s="415"/>
      <c r="U12" s="416">
        <f>$AQ$7+16</f>
        <v>45764</v>
      </c>
      <c r="V12" s="412"/>
      <c r="W12" s="412"/>
      <c r="X12" s="413" t="str">
        <f>TEXT(U12,"aaa")</f>
        <v>木</v>
      </c>
      <c r="Y12" s="413"/>
      <c r="Z12" s="413"/>
      <c r="AA12" s="413" cm="1">
        <f t="array" aca="1" ref="AA12" ca="1">IFERROR(IF($AQ$6&lt;=U12,(IF(U12&lt;$AQ$4,INDEX(INDIRECT($AQ$10),5,U12-INDEX($AR$12:$AR$31,MATCH(FALSE,INDEX($AQ$12:$AQ$31="",0),0)-1,1)+1),IF(INDEX($AR$12:$AR$31,MATCH(FALSE,INDEX($AQ$12:$AQ$31="",0),0)+1,1,1)&lt;=U12,INDEX(INDIRECT($AS$10),5,INDEX($AR$12:$AR$31,MATCH(FALSE,INDEX($AQ$12:$AQ$31="",0),0)+1,1,1)-U12+1),INDEX(INDIRECT($AQ$9),5,U12-$AQ$4+1)))),""),"")</f>
        <v>0</v>
      </c>
      <c r="AB12" s="413"/>
      <c r="AC12" s="413"/>
      <c r="AD12" s="413"/>
      <c r="AE12" s="413"/>
      <c r="AF12" s="413"/>
      <c r="AG12" s="413"/>
      <c r="AH12" s="413" cm="1">
        <f t="array" aca="1" ref="AH12" ca="1">IFERROR(IF($AQ$6&lt;=U12,(IF(U12&lt;$AQ$4,INDEX(INDIRECT($AQ$10),6,U12-INDEX($AR$12:$AR$31,MATCH(FALSE,INDEX($AQ$12:$AQ$31="",0),0)-1,1)+1),IF(INDEX($AR$12:$AR$31,MATCH(FALSE,INDEX($AQ$12:$AQ$31="",0),0)+1,1,1)&lt;=U12,INDEX(INDIRECT($AS$10),6,INDEX($AR$12:$AR$31,MATCH(FALSE,INDEX($AQ$12:$AQ$31="",0),0)+1,1,1)-U12+1),INDEX(INDIRECT($AQ$9),6,U12-$AQ$4+1)))),""),"")</f>
        <v>0</v>
      </c>
      <c r="AI12" s="413"/>
      <c r="AJ12" s="413"/>
      <c r="AK12" s="413"/>
      <c r="AL12" s="413"/>
      <c r="AM12" s="413"/>
      <c r="AN12" s="417"/>
      <c r="AO12" s="115"/>
      <c r="AP12" s="254">
        <v>1</v>
      </c>
      <c r="AQ12" s="274" t="str">
        <f>IFERROR("A"&amp;MATCH(AR12,$A$12:$A$27,0)+11,"")&amp;IFERROR("U"&amp;MATCH(AR12,$U$12:$U$26,0)+11,"")</f>
        <v>A18</v>
      </c>
      <c r="AR12" s="273">
        <f>休日取得計画表兼実施報告書!C13</f>
        <v>45754</v>
      </c>
      <c r="AS12" s="96" t="s">
        <v>273</v>
      </c>
      <c r="AT12" s="96" t="s">
        <v>277</v>
      </c>
      <c r="AU12" s="273">
        <f>休日取得計画表兼実施報告書!AD13</f>
        <v>45781</v>
      </c>
      <c r="AW12" s="251"/>
      <c r="AX12" s="93"/>
    </row>
    <row r="13" spans="1:53" ht="19.5" customHeight="1">
      <c r="A13" s="422">
        <f>$AQ$7+1</f>
        <v>45749</v>
      </c>
      <c r="B13" s="423"/>
      <c r="C13" s="423"/>
      <c r="D13" s="420" t="str">
        <f>TEXT(A13,"aaa")</f>
        <v>水</v>
      </c>
      <c r="E13" s="420"/>
      <c r="F13" s="420"/>
      <c r="G13" s="424" t="str" cm="1">
        <f t="array" aca="1" ref="G13" ca="1">IFERROR(IF($AQ$6&lt;=A13,IF(A13&lt;$AQ$4,INDEX(INDIRECT($AQ$10),5,A13-INDEX($AR$12:$AR$31,MATCH(FALSE,INDEX($AQ$12:$AQ$31="",0),0)-1,1)+1),IF(INDEX($AR$12:$AR$31,MATCH(FALSE,INDEX($AQ$12:$AQ$31="",0),0)+1,1,1)&lt;=A13,INDEX(INDIRECT($AS$10),5,INDEX($AR$12:$AR$31,MATCH(FALSE,INDEX($AQ$12:$AQ$31="",0),0)+1,1,1)-A13+1),INDEX(INDIRECT($AQ$9),5,A13-$AQ$4+1))),""),"")</f>
        <v/>
      </c>
      <c r="H13" s="424"/>
      <c r="I13" s="424"/>
      <c r="J13" s="424"/>
      <c r="K13" s="424"/>
      <c r="L13" s="424"/>
      <c r="M13" s="424"/>
      <c r="N13" s="424" t="str" cm="1">
        <f t="array" aca="1" ref="N13" ca="1">IFERROR(IF($AQ$6&lt;=A13,(IF(A13&lt;$AQ$4,INDEX(INDIRECT($AQ$10),6,A13-INDEX($AR$12:$AR$31,MATCH(FALSE,INDEX($AQ$12:$AQ$31="",0),0)-1,1)+1),IF(INDEX($AR$12:$AR$31,MATCH(FALSE,INDEX($AQ$12:$AQ$31="",0),0)+1,1,1)&lt;=A13,INDEX(INDIRECT($AS$10),6,INDEX($AR$12:$AR$31,MATCH(FALSE,INDEX($AQ$12:$AQ$31="",0),0)+1,1,1)-A13+1),INDEX(INDIRECT($AQ$9),6,A13-$AQ$4+1)))),""),"")</f>
        <v/>
      </c>
      <c r="O13" s="424"/>
      <c r="P13" s="424"/>
      <c r="Q13" s="424"/>
      <c r="R13" s="424"/>
      <c r="S13" s="424"/>
      <c r="T13" s="425"/>
      <c r="U13" s="426">
        <f>$AQ$7+17</f>
        <v>45765</v>
      </c>
      <c r="V13" s="423"/>
      <c r="W13" s="423"/>
      <c r="X13" s="420" t="str">
        <f>TEXT(U13,"aaa")</f>
        <v>金</v>
      </c>
      <c r="Y13" s="420"/>
      <c r="Z13" s="420"/>
      <c r="AA13" s="420" cm="1">
        <f t="array" aca="1" ref="AA13" ca="1">IFERROR(IF($AQ$6&lt;=U13,(IF(U13&lt;$AQ$4,INDEX(INDIRECT($AQ$10),5,U13-INDEX($AR$12:$AR$31,MATCH(FALSE,INDEX($AQ$12:$AQ$31="",0),0)-1,1)+1),IF(INDEX($AR$12:$AR$31,MATCH(FALSE,INDEX($AQ$12:$AQ$31="",0),0)+1,1,1)&lt;=U13,INDEX(INDIRECT($AS$10),5,INDEX($AR$12:$AR$31,MATCH(FALSE,INDEX($AQ$12:$AQ$31="",0),0)+1,1,1)-U13+1),INDEX(INDIRECT($AQ$9),5,U13-$AQ$4+1)))),""),"")</f>
        <v>0</v>
      </c>
      <c r="AB13" s="420"/>
      <c r="AC13" s="420"/>
      <c r="AD13" s="420"/>
      <c r="AE13" s="420"/>
      <c r="AF13" s="420"/>
      <c r="AG13" s="420"/>
      <c r="AH13" s="420" cm="1">
        <f t="array" aca="1" ref="AH13" ca="1">IFERROR(IF($AQ$6&lt;=U13,(IF(U13&lt;$AQ$4,INDEX(INDIRECT($AQ$10),6,U13-INDEX($AR$12:$AR$31,MATCH(FALSE,INDEX($AQ$12:$AQ$31="",0),0)-1,1)+1),IF(INDEX($AR$12:$AR$31,MATCH(FALSE,INDEX($AQ$12:$AQ$31="",0),0)+1,1,1)&lt;=U13,INDEX(INDIRECT($AS$10),6,INDEX($AR$12:$AR$31,MATCH(FALSE,INDEX($AQ$12:$AQ$31="",0),0)+1,1,1)-U13+1),INDEX(INDIRECT($AQ$9),6,U13-$AQ$4+1)))),""),"")</f>
        <v>0</v>
      </c>
      <c r="AI13" s="420"/>
      <c r="AJ13" s="420"/>
      <c r="AK13" s="420"/>
      <c r="AL13" s="420"/>
      <c r="AM13" s="420"/>
      <c r="AN13" s="421"/>
      <c r="AO13" s="115"/>
      <c r="AP13" s="254">
        <v>2</v>
      </c>
      <c r="AQ13" s="274" t="str">
        <f t="shared" ref="AQ13:AQ31" si="0">IFERROR("A"&amp;MATCH(AR13,$A$12:$A$27,0)+11,"")&amp;IFERROR("U"&amp;MATCH(AR13,$U$12:$U$26,0)+11,"")</f>
        <v>U26</v>
      </c>
      <c r="AR13" s="273" t="str">
        <f>休日取得計画表兼実施報告書!C19</f>
        <v/>
      </c>
      <c r="AS13" s="274" t="s">
        <v>274</v>
      </c>
      <c r="AT13" s="274" t="s">
        <v>278</v>
      </c>
      <c r="AU13" s="273" t="str">
        <f>休日取得計画表兼実施報告書!AD19</f>
        <v/>
      </c>
      <c r="AW13" s="251"/>
      <c r="AX13" s="93"/>
    </row>
    <row r="14" spans="1:53" ht="19.5" customHeight="1">
      <c r="A14" s="422">
        <f>$AQ$7+2</f>
        <v>45750</v>
      </c>
      <c r="B14" s="423"/>
      <c r="C14" s="423"/>
      <c r="D14" s="420" t="str">
        <f t="shared" ref="D14:D27" si="1">TEXT(A14,"aaa")</f>
        <v>木</v>
      </c>
      <c r="E14" s="420"/>
      <c r="F14" s="420"/>
      <c r="G14" s="424" t="str" cm="1">
        <f t="array" aca="1" ref="G14" ca="1">IFERROR(IF($AQ$6&lt;=A14,IF(A14&lt;$AQ$4,INDEX(INDIRECT($AQ$10),5,A14-INDEX($AR$12:$AR$31,MATCH(FALSE,INDEX($AQ$12:$AQ$31="",0),0)-1,1)+1),IF(INDEX($AR$12:$AR$31,MATCH(FALSE,INDEX($AQ$12:$AQ$31="",0),0)+1,1,1)&lt;=A14,INDEX(INDIRECT($AS$10),5,INDEX($AR$12:$AR$31,MATCH(FALSE,INDEX($AQ$12:$AQ$31="",0),0)+1,1,1)-A14+1),INDEX(INDIRECT($AQ$9),5,A14-$AQ$4+1))),""),"")</f>
        <v/>
      </c>
      <c r="H14" s="424"/>
      <c r="I14" s="424"/>
      <c r="J14" s="424"/>
      <c r="K14" s="424"/>
      <c r="L14" s="424"/>
      <c r="M14" s="424"/>
      <c r="N14" s="424" t="str" cm="1">
        <f t="array" aca="1" ref="N14" ca="1">IFERROR(IF($AQ$6&lt;=A14,(IF(A14&lt;$AQ$4,INDEX(INDIRECT($AQ$10),6,A14-INDEX($AR$12:$AR$31,MATCH(FALSE,INDEX($AQ$12:$AQ$31="",0),0)-1,1)+1),IF(INDEX($AR$12:$AR$31,MATCH(FALSE,INDEX($AQ$12:$AQ$31="",0),0)+1,1,1)&lt;=A14,INDEX(INDIRECT($AS$10),6,INDEX($AR$12:$AR$31,MATCH(FALSE,INDEX($AQ$12:$AQ$31="",0),0)+1,1,1)-A14+1),INDEX(INDIRECT($AQ$9),6,A14-$AQ$4+1)))),""),"")</f>
        <v/>
      </c>
      <c r="O14" s="424"/>
      <c r="P14" s="424"/>
      <c r="Q14" s="424"/>
      <c r="R14" s="424"/>
      <c r="S14" s="424"/>
      <c r="T14" s="425"/>
      <c r="U14" s="426">
        <f>$AQ$7+18</f>
        <v>45766</v>
      </c>
      <c r="V14" s="423"/>
      <c r="W14" s="423"/>
      <c r="X14" s="420" t="str">
        <f t="shared" ref="X14:X26" si="2">TEXT(U14,"aaa")</f>
        <v>土</v>
      </c>
      <c r="Y14" s="420"/>
      <c r="Z14" s="420"/>
      <c r="AA14" s="420" t="str" cm="1">
        <f t="array" aca="1" ref="AA14" ca="1">IFERROR(IF($AQ$6&lt;=U14,(IF(U14&lt;$AQ$4,INDEX(INDIRECT($AQ$10),5,U14-INDEX($AR$12:$AR$31,MATCH(FALSE,INDEX($AQ$12:$AQ$31="",0),0)-1,1)+1),IF(INDEX($AR$12:$AR$31,MATCH(FALSE,INDEX($AQ$12:$AQ$31="",0),0)+1,1,1)&lt;=U14,INDEX(INDIRECT($AS$10),5,INDEX($AR$12:$AR$31,MATCH(FALSE,INDEX($AQ$12:$AQ$31="",0),0)+1,1,1)-U14+1),INDEX(INDIRECT($AQ$9),5,U14-$AQ$4+1)))),""),"")</f>
        <v>休</v>
      </c>
      <c r="AB14" s="420"/>
      <c r="AC14" s="420"/>
      <c r="AD14" s="420"/>
      <c r="AE14" s="420"/>
      <c r="AF14" s="420"/>
      <c r="AG14" s="420"/>
      <c r="AH14" s="420" cm="1">
        <f t="array" aca="1" ref="AH14" ca="1">IFERROR(IF($AQ$6&lt;=U14,(IF(U14&lt;$AQ$4,INDEX(INDIRECT($AQ$10),6,U14-INDEX($AR$12:$AR$31,MATCH(FALSE,INDEX($AQ$12:$AQ$31="",0),0)-1,1)+1),IF(INDEX($AR$12:$AR$31,MATCH(FALSE,INDEX($AQ$12:$AQ$31="",0),0)+1,1,1)&lt;=U14,INDEX(INDIRECT($AS$10),6,INDEX($AR$12:$AR$31,MATCH(FALSE,INDEX($AQ$12:$AQ$31="",0),0)+1,1,1)-U14+1),INDEX(INDIRECT($AQ$9),6,U14-$AQ$4+1)))),""),"")</f>
        <v>0</v>
      </c>
      <c r="AI14" s="420"/>
      <c r="AJ14" s="420"/>
      <c r="AK14" s="420"/>
      <c r="AL14" s="420"/>
      <c r="AM14" s="420"/>
      <c r="AN14" s="421"/>
      <c r="AO14" s="115"/>
      <c r="AP14" s="254">
        <v>3</v>
      </c>
      <c r="AQ14" s="274" t="str">
        <f>IFERROR("A"&amp;MATCH(AR14,$A$12:$A$27,0)+11,"")&amp;IFERROR("U"&amp;MATCH(AR14,$U$12:$U$26,0)+11,"")</f>
        <v>U26</v>
      </c>
      <c r="AR14" s="273" t="str">
        <f>休日取得計画表兼実施報告書!C25</f>
        <v/>
      </c>
      <c r="AS14" s="96" t="s">
        <v>146</v>
      </c>
      <c r="AT14" s="96" t="s">
        <v>279</v>
      </c>
      <c r="AU14" s="273" t="str">
        <f>休日取得計画表兼実施報告書!AD25</f>
        <v/>
      </c>
      <c r="AW14" s="251"/>
      <c r="AX14" s="93"/>
    </row>
    <row r="15" spans="1:53" ht="19.5" customHeight="1">
      <c r="A15" s="422">
        <f>$AQ$7+3</f>
        <v>45751</v>
      </c>
      <c r="B15" s="423"/>
      <c r="C15" s="423"/>
      <c r="D15" s="420" t="str">
        <f t="shared" si="1"/>
        <v>金</v>
      </c>
      <c r="E15" s="420"/>
      <c r="F15" s="420"/>
      <c r="G15" s="424" t="str" cm="1">
        <f t="array" aca="1" ref="G15" ca="1">IFERROR(IF($AQ$6&lt;=A15,IF(A15&lt;$AQ$4,INDEX(INDIRECT($AQ$10),5,A15-INDEX($AR$12:$AR$31,MATCH(FALSE,INDEX($AQ$12:$AQ$31="",0),0)-1,1)+1),IF(INDEX($AR$12:$AR$31,MATCH(FALSE,INDEX($AQ$12:$AQ$31="",0),0)+1,1,1)&lt;=A15,INDEX(INDIRECT($AS$10),5,INDEX($AR$12:$AR$31,MATCH(FALSE,INDEX($AQ$12:$AQ$31="",0),0)+1,1,1)-A15+1),INDEX(INDIRECT($AQ$9),5,A15-$AQ$4+1))),""),"")</f>
        <v/>
      </c>
      <c r="H15" s="424"/>
      <c r="I15" s="424"/>
      <c r="J15" s="424"/>
      <c r="K15" s="424"/>
      <c r="L15" s="424"/>
      <c r="M15" s="424"/>
      <c r="N15" s="424" t="str" cm="1">
        <f t="array" aca="1" ref="N15" ca="1">IFERROR(IF($AQ$6&lt;=A15,(IF(A15&lt;$AQ$4,INDEX(INDIRECT($AQ$10),6,A15-INDEX($AR$12:$AR$31,MATCH(FALSE,INDEX($AQ$12:$AQ$31="",0),0)-1,1)+1),IF(INDEX($AR$12:$AR$31,MATCH(FALSE,INDEX($AQ$12:$AQ$31="",0),0)+1,1,1)&lt;=A15,INDEX(INDIRECT($AS$10),6,INDEX($AR$12:$AR$31,MATCH(FALSE,INDEX($AQ$12:$AQ$31="",0),0)+1,1,1)-A15+1),INDEX(INDIRECT($AQ$9),6,A15-$AQ$4+1)))),""),"")</f>
        <v/>
      </c>
      <c r="O15" s="424"/>
      <c r="P15" s="424"/>
      <c r="Q15" s="424"/>
      <c r="R15" s="424"/>
      <c r="S15" s="424"/>
      <c r="T15" s="425"/>
      <c r="U15" s="426">
        <f>$AQ$7+19</f>
        <v>45767</v>
      </c>
      <c r="V15" s="423"/>
      <c r="W15" s="423"/>
      <c r="X15" s="420" t="str">
        <f t="shared" si="2"/>
        <v>日</v>
      </c>
      <c r="Y15" s="420"/>
      <c r="Z15" s="420"/>
      <c r="AA15" s="420" t="str" cm="1">
        <f t="array" aca="1" ref="AA15" ca="1">IFERROR(IF($AQ$6&lt;=U15,(IF(U15&lt;$AQ$4,INDEX(INDIRECT($AQ$10),5,U15-INDEX($AR$12:$AR$31,MATCH(FALSE,INDEX($AQ$12:$AQ$31="",0),0)-1,1)+1),IF(INDEX($AR$12:$AR$31,MATCH(FALSE,INDEX($AQ$12:$AQ$31="",0),0)+1,1,1)&lt;=U15,INDEX(INDIRECT($AS$10),5,INDEX($AR$12:$AR$31,MATCH(FALSE,INDEX($AQ$12:$AQ$31="",0),0)+1,1,1)-U15+1),INDEX(INDIRECT($AQ$9),5,U15-$AQ$4+1)))),""),"")</f>
        <v>休</v>
      </c>
      <c r="AB15" s="420"/>
      <c r="AC15" s="420"/>
      <c r="AD15" s="420"/>
      <c r="AE15" s="420"/>
      <c r="AF15" s="420"/>
      <c r="AG15" s="420"/>
      <c r="AH15" s="420" cm="1">
        <f t="array" aca="1" ref="AH15" ca="1">IFERROR(IF($AQ$6&lt;=U15,(IF(U15&lt;$AQ$4,INDEX(INDIRECT($AQ$10),6,U15-INDEX($AR$12:$AR$31,MATCH(FALSE,INDEX($AQ$12:$AQ$31="",0),0)-1,1)+1),IF(INDEX($AR$12:$AR$31,MATCH(FALSE,INDEX($AQ$12:$AQ$31="",0),0)+1,1,1)&lt;=U15,INDEX(INDIRECT($AS$10),6,INDEX($AR$12:$AR$31,MATCH(FALSE,INDEX($AQ$12:$AQ$31="",0),0)+1,1,1)-U15+1),INDEX(INDIRECT($AQ$9),6,U15-$AQ$4+1)))),""),"")</f>
        <v>0</v>
      </c>
      <c r="AI15" s="420"/>
      <c r="AJ15" s="420"/>
      <c r="AK15" s="420"/>
      <c r="AL15" s="420"/>
      <c r="AM15" s="420"/>
      <c r="AN15" s="421"/>
      <c r="AO15" s="115"/>
      <c r="AP15" s="254">
        <v>4</v>
      </c>
      <c r="AQ15" s="274" t="str">
        <f t="shared" si="0"/>
        <v>U26</v>
      </c>
      <c r="AR15" s="273" t="str">
        <f>休日取得計画表兼実施報告書!C31</f>
        <v/>
      </c>
      <c r="AS15" s="274" t="s">
        <v>147</v>
      </c>
      <c r="AT15" s="274" t="s">
        <v>280</v>
      </c>
      <c r="AU15" s="273" t="str">
        <f>休日取得計画表兼実施報告書!AD31</f>
        <v/>
      </c>
      <c r="AW15" s="251"/>
      <c r="AX15" s="93"/>
    </row>
    <row r="16" spans="1:53" ht="19.5" customHeight="1">
      <c r="A16" s="422">
        <f>$AQ$7+4</f>
        <v>45752</v>
      </c>
      <c r="B16" s="423"/>
      <c r="C16" s="423"/>
      <c r="D16" s="420" t="str">
        <f t="shared" si="1"/>
        <v>土</v>
      </c>
      <c r="E16" s="420"/>
      <c r="F16" s="420"/>
      <c r="G16" s="424" t="str" cm="1">
        <f t="array" aca="1" ref="G16" ca="1">IFERROR(IF($AQ$6&lt;=A16,IF(A16&lt;$AQ$4,INDEX(INDIRECT($AQ$10),5,A16-INDEX($AR$12:$AR$31,MATCH(FALSE,INDEX($AQ$12:$AQ$31="",0),0)-1,1)+1),IF(INDEX($AR$12:$AR$31,MATCH(FALSE,INDEX($AQ$12:$AQ$31="",0),0)+1,1,1)&lt;=A16,INDEX(INDIRECT($AS$10),5,INDEX($AR$12:$AR$31,MATCH(FALSE,INDEX($AQ$12:$AQ$31="",0),0)+1,1,1)-A16+1),INDEX(INDIRECT($AQ$9),5,A16-$AQ$4+1))),""),"")</f>
        <v/>
      </c>
      <c r="H16" s="424"/>
      <c r="I16" s="424"/>
      <c r="J16" s="424"/>
      <c r="K16" s="424"/>
      <c r="L16" s="424"/>
      <c r="M16" s="424"/>
      <c r="N16" s="424" t="str" cm="1">
        <f t="array" aca="1" ref="N16" ca="1">IFERROR(IF($AQ$6&lt;=A16,(IF(A16&lt;$AQ$4,INDEX(INDIRECT($AQ$10),6,A16-INDEX($AR$12:$AR$31,MATCH(FALSE,INDEX($AQ$12:$AQ$31="",0),0)-1,1)+1),IF(INDEX($AR$12:$AR$31,MATCH(FALSE,INDEX($AQ$12:$AQ$31="",0),0)+1,1,1)&lt;=A16,INDEX(INDIRECT($AS$10),6,INDEX($AR$12:$AR$31,MATCH(FALSE,INDEX($AQ$12:$AQ$31="",0),0)+1,1,1)-A16+1),INDEX(INDIRECT($AQ$9),6,A16-$AQ$4+1)))),""),"")</f>
        <v/>
      </c>
      <c r="O16" s="424"/>
      <c r="P16" s="424"/>
      <c r="Q16" s="424"/>
      <c r="R16" s="424"/>
      <c r="S16" s="424"/>
      <c r="T16" s="425"/>
      <c r="U16" s="426">
        <f>$AQ$7+20</f>
        <v>45768</v>
      </c>
      <c r="V16" s="423"/>
      <c r="W16" s="423"/>
      <c r="X16" s="420" t="str">
        <f t="shared" si="2"/>
        <v>月</v>
      </c>
      <c r="Y16" s="420"/>
      <c r="Z16" s="420"/>
      <c r="AA16" s="420" t="str" cm="1">
        <f t="array" aca="1" ref="AA16" ca="1">IFERROR(IF($AQ$6&lt;=U16,(IF(U16&lt;$AQ$4,INDEX(INDIRECT($AQ$10),5,U16-INDEX($AR$12:$AR$31,MATCH(FALSE,INDEX($AQ$12:$AQ$31="",0),0)-1,1)+1),IF(INDEX($AR$12:$AR$31,MATCH(FALSE,INDEX($AQ$12:$AQ$31="",0),0)+1,1,1)&lt;=U16,INDEX(INDIRECT($AS$10),5,INDEX($AR$12:$AR$31,MATCH(FALSE,INDEX($AQ$12:$AQ$31="",0),0)+1,1,1)-U16+1),INDEX(INDIRECT($AQ$9),5,U16-$AQ$4+1)))),""),"")</f>
        <v/>
      </c>
      <c r="AB16" s="420"/>
      <c r="AC16" s="420"/>
      <c r="AD16" s="420"/>
      <c r="AE16" s="420"/>
      <c r="AF16" s="420"/>
      <c r="AG16" s="420"/>
      <c r="AH16" s="420" cm="1">
        <f t="array" aca="1" ref="AH16" ca="1">IFERROR(IF($AQ$6&lt;=U16,(IF(U16&lt;$AQ$4,INDEX(INDIRECT($AQ$10),6,U16-INDEX($AR$12:$AR$31,MATCH(FALSE,INDEX($AQ$12:$AQ$31="",0),0)-1,1)+1),IF(INDEX($AR$12:$AR$31,MATCH(FALSE,INDEX($AQ$12:$AQ$31="",0),0)+1,1,1)&lt;=U16,INDEX(INDIRECT($AS$10),6,INDEX($AR$12:$AR$31,MATCH(FALSE,INDEX($AQ$12:$AQ$31="",0),0)+1,1,1)-U16+1),INDEX(INDIRECT($AQ$9),6,U16-$AQ$4+1)))),""),"")</f>
        <v>0</v>
      </c>
      <c r="AI16" s="420"/>
      <c r="AJ16" s="420"/>
      <c r="AK16" s="420"/>
      <c r="AL16" s="420"/>
      <c r="AM16" s="420"/>
      <c r="AN16" s="421"/>
      <c r="AO16" s="115"/>
      <c r="AP16" s="254">
        <v>5</v>
      </c>
      <c r="AQ16" s="274" t="str">
        <f t="shared" si="0"/>
        <v>U26</v>
      </c>
      <c r="AR16" s="273" t="str">
        <f>休日取得計画表兼実施報告書!C37</f>
        <v/>
      </c>
      <c r="AS16" s="96" t="s">
        <v>148</v>
      </c>
      <c r="AT16" s="96" t="s">
        <v>281</v>
      </c>
      <c r="AU16" s="273" t="str">
        <f>休日取得計画表兼実施報告書!AD37</f>
        <v/>
      </c>
      <c r="AW16" s="251"/>
      <c r="AX16" s="93"/>
      <c r="BA16" s="245" t="s">
        <v>264</v>
      </c>
    </row>
    <row r="17" spans="1:62" ht="19.5" customHeight="1">
      <c r="A17" s="422">
        <f>$AQ$7+5</f>
        <v>45753</v>
      </c>
      <c r="B17" s="423"/>
      <c r="C17" s="423"/>
      <c r="D17" s="420" t="str">
        <f t="shared" si="1"/>
        <v>日</v>
      </c>
      <c r="E17" s="420"/>
      <c r="F17" s="420"/>
      <c r="G17" s="424" t="str" cm="1">
        <f t="array" aca="1" ref="G17" ca="1">IFERROR(IF($AQ$6&lt;=A17,IF(A17&lt;$AQ$4,INDEX(INDIRECT($AQ$10),5,A17-INDEX($AR$12:$AR$31,MATCH(FALSE,INDEX($AQ$12:$AQ$31="",0),0)-1,1)+1),IF(INDEX($AR$12:$AR$31,MATCH(FALSE,INDEX($AQ$12:$AQ$31="",0),0)+1,1,1)&lt;=A17,INDEX(INDIRECT($AS$10),5,INDEX($AR$12:$AR$31,MATCH(FALSE,INDEX($AQ$12:$AQ$31="",0),0)+1,1,1)-A17+1),INDEX(INDIRECT($AQ$9),5,A17-$AQ$4+1))),""),"")</f>
        <v/>
      </c>
      <c r="H17" s="424"/>
      <c r="I17" s="424"/>
      <c r="J17" s="424"/>
      <c r="K17" s="424"/>
      <c r="L17" s="424"/>
      <c r="M17" s="424"/>
      <c r="N17" s="424" t="str" cm="1">
        <f t="array" aca="1" ref="N17" ca="1">IFERROR(IF($AQ$6&lt;=A17,(IF(A17&lt;$AQ$4,INDEX(INDIRECT($AQ$10),6,A17-INDEX($AR$12:$AR$31,MATCH(FALSE,INDEX($AQ$12:$AQ$31="",0),0)-1,1)+1),IF(INDEX($AR$12:$AR$31,MATCH(FALSE,INDEX($AQ$12:$AQ$31="",0),0)+1,1,1)&lt;=A17,INDEX(INDIRECT($AS$10),6,INDEX($AR$12:$AR$31,MATCH(FALSE,INDEX($AQ$12:$AQ$31="",0),0)+1,1,1)-A17+1),INDEX(INDIRECT($AQ$9),6,A17-$AQ$4+1)))),""),"")</f>
        <v/>
      </c>
      <c r="O17" s="424"/>
      <c r="P17" s="424"/>
      <c r="Q17" s="424"/>
      <c r="R17" s="424"/>
      <c r="S17" s="424"/>
      <c r="T17" s="425"/>
      <c r="U17" s="426">
        <f>$AQ$7+21</f>
        <v>45769</v>
      </c>
      <c r="V17" s="423"/>
      <c r="W17" s="423"/>
      <c r="X17" s="420" t="str">
        <f t="shared" si="2"/>
        <v>火</v>
      </c>
      <c r="Y17" s="420"/>
      <c r="Z17" s="420"/>
      <c r="AA17" s="420" t="str" cm="1">
        <f t="array" aca="1" ref="AA17" ca="1">IFERROR(IF($AQ$6&lt;=U17,(IF(U17&lt;$AQ$4,INDEX(INDIRECT($AQ$10),5,U17-INDEX($AR$12:$AR$31,MATCH(FALSE,INDEX($AQ$12:$AQ$31="",0),0)-1,1)+1),IF(INDEX($AR$12:$AR$31,MATCH(FALSE,INDEX($AQ$12:$AQ$31="",0),0)+1,1,1)&lt;=U17,INDEX(INDIRECT($AS$10),5,INDEX($AR$12:$AR$31,MATCH(FALSE,INDEX($AQ$12:$AQ$31="",0),0)+1,1,1)-U17+1),INDEX(INDIRECT($AQ$9),5,U17-$AQ$4+1)))),""),"")</f>
        <v/>
      </c>
      <c r="AB17" s="420"/>
      <c r="AC17" s="420"/>
      <c r="AD17" s="420"/>
      <c r="AE17" s="420"/>
      <c r="AF17" s="420"/>
      <c r="AG17" s="420"/>
      <c r="AH17" s="420" cm="1">
        <f t="array" aca="1" ref="AH17" ca="1">IFERROR(IF($AQ$6&lt;=U17,(IF(U17&lt;$AQ$4,INDEX(INDIRECT($AQ$10),6,U17-INDEX($AR$12:$AR$31,MATCH(FALSE,INDEX($AQ$12:$AQ$31="",0),0)-1,1)+1),IF(INDEX($AR$12:$AR$31,MATCH(FALSE,INDEX($AQ$12:$AQ$31="",0),0)+1,1,1)&lt;=U17,INDEX(INDIRECT($AS$10),6,INDEX($AR$12:$AR$31,MATCH(FALSE,INDEX($AQ$12:$AQ$31="",0),0)+1,1,1)-U17+1),INDEX(INDIRECT($AQ$9),6,U17-$AQ$4+1)))),""),"")</f>
        <v>0</v>
      </c>
      <c r="AI17" s="420"/>
      <c r="AJ17" s="420"/>
      <c r="AK17" s="420"/>
      <c r="AL17" s="420"/>
      <c r="AM17" s="420"/>
      <c r="AN17" s="421"/>
      <c r="AO17" s="115"/>
      <c r="AP17" s="254">
        <v>6</v>
      </c>
      <c r="AQ17" s="274" t="str">
        <f t="shared" si="0"/>
        <v>U26</v>
      </c>
      <c r="AR17" s="273" t="str">
        <f>休日取得計画表兼実施報告書!C43</f>
        <v/>
      </c>
      <c r="AS17" s="274" t="s">
        <v>149</v>
      </c>
      <c r="AT17" s="274" t="s">
        <v>282</v>
      </c>
      <c r="AU17" s="273" t="str">
        <f>休日取得計画表兼実施報告書!AD43</f>
        <v/>
      </c>
      <c r="AW17" s="251"/>
      <c r="AX17" s="93"/>
    </row>
    <row r="18" spans="1:62" ht="19.5" customHeight="1">
      <c r="A18" s="422">
        <f>$AQ$7+6</f>
        <v>45754</v>
      </c>
      <c r="B18" s="423"/>
      <c r="C18" s="423"/>
      <c r="D18" s="420" t="str">
        <f t="shared" si="1"/>
        <v>月</v>
      </c>
      <c r="E18" s="420"/>
      <c r="F18" s="420"/>
      <c r="G18" s="424" t="str" cm="1">
        <f t="array" aca="1" ref="G18" ca="1">IFERROR(IF($AQ$6&lt;=A18,IF(A18&lt;$AQ$4,INDEX(INDIRECT($AQ$10),5,A18-INDEX($AR$12:$AR$31,MATCH(FALSE,INDEX($AQ$12:$AQ$31="",0),0)-1,1)+1),IF(INDEX($AR$12:$AR$31,MATCH(FALSE,INDEX($AQ$12:$AQ$31="",0),0)+1,1,1)&lt;=A18,INDEX(INDIRECT($AS$10),5,INDEX($AR$12:$AR$31,MATCH(FALSE,INDEX($AQ$12:$AQ$31="",0),0)+1,1,1)-A18+1),INDEX(INDIRECT($AQ$9),5,A18-$AQ$4+1))),""),"")</f>
        <v/>
      </c>
      <c r="H18" s="424"/>
      <c r="I18" s="424"/>
      <c r="J18" s="424"/>
      <c r="K18" s="424"/>
      <c r="L18" s="424"/>
      <c r="M18" s="424"/>
      <c r="N18" s="424" t="str" cm="1">
        <f t="array" aca="1" ref="N18" ca="1">IFERROR(IF($AQ$6&lt;=A18,(IF(A18&lt;$AQ$4,INDEX(INDIRECT($AQ$10),6,A18-INDEX($AR$12:$AR$31,MATCH(FALSE,INDEX($AQ$12:$AQ$31="",0),0)-1,1)+1),IF(INDEX($AR$12:$AR$31,MATCH(FALSE,INDEX($AQ$12:$AQ$31="",0),0)+1,1,1)&lt;=A18,INDEX(INDIRECT($AS$10),6,INDEX($AR$12:$AR$31,MATCH(FALSE,INDEX($AQ$12:$AQ$31="",0),0)+1,1,1)-A18+1),INDEX(INDIRECT($AQ$9),6,A18-$AQ$4+1)))),""),"")</f>
        <v/>
      </c>
      <c r="O18" s="424"/>
      <c r="P18" s="424"/>
      <c r="Q18" s="424"/>
      <c r="R18" s="424"/>
      <c r="S18" s="424"/>
      <c r="T18" s="425"/>
      <c r="U18" s="426">
        <f>$AQ$7+22</f>
        <v>45770</v>
      </c>
      <c r="V18" s="423"/>
      <c r="W18" s="423"/>
      <c r="X18" s="420" t="str">
        <f t="shared" si="2"/>
        <v>水</v>
      </c>
      <c r="Y18" s="420"/>
      <c r="Z18" s="420"/>
      <c r="AA18" s="420" cm="1">
        <f t="array" aca="1" ref="AA18" ca="1">IFERROR(IF($AQ$6&lt;=U18,(IF(U18&lt;$AQ$4,INDEX(INDIRECT($AQ$10),5,U18-INDEX($AR$12:$AR$31,MATCH(FALSE,INDEX($AQ$12:$AQ$31="",0),0)-1,1)+1),IF(INDEX($AR$12:$AR$31,MATCH(FALSE,INDEX($AQ$12:$AQ$31="",0),0)+1,1,1)&lt;=U18,INDEX(INDIRECT($AS$10),5,INDEX($AR$12:$AR$31,MATCH(FALSE,INDEX($AQ$12:$AQ$31="",0),0)+1,1,1)-U18+1),INDEX(INDIRECT($AQ$9),5,U18-$AQ$4+1)))),""),"")</f>
        <v>0</v>
      </c>
      <c r="AB18" s="420"/>
      <c r="AC18" s="420"/>
      <c r="AD18" s="420"/>
      <c r="AE18" s="420"/>
      <c r="AF18" s="420"/>
      <c r="AG18" s="420"/>
      <c r="AH18" s="420" cm="1">
        <f t="array" aca="1" ref="AH18" ca="1">IFERROR(IF($AQ$6&lt;=U18,(IF(U18&lt;$AQ$4,INDEX(INDIRECT($AQ$10),6,U18-INDEX($AR$12:$AR$31,MATCH(FALSE,INDEX($AQ$12:$AQ$31="",0),0)-1,1)+1),IF(INDEX($AR$12:$AR$31,MATCH(FALSE,INDEX($AQ$12:$AQ$31="",0),0)+1,1,1)&lt;=U18,INDEX(INDIRECT($AS$10),6,INDEX($AR$12:$AR$31,MATCH(FALSE,INDEX($AQ$12:$AQ$31="",0),0)+1,1,1)-U18+1),INDEX(INDIRECT($AQ$9),6,U18-$AQ$4+1)))),""),"")</f>
        <v>0</v>
      </c>
      <c r="AI18" s="420"/>
      <c r="AJ18" s="420"/>
      <c r="AK18" s="420"/>
      <c r="AL18" s="420"/>
      <c r="AM18" s="420"/>
      <c r="AN18" s="421"/>
      <c r="AO18" s="115"/>
      <c r="AP18" s="254">
        <v>7</v>
      </c>
      <c r="AQ18" s="274" t="str">
        <f t="shared" si="0"/>
        <v>U26</v>
      </c>
      <c r="AR18" s="273" t="str">
        <f>休日取得計画表兼実施報告書!C49</f>
        <v/>
      </c>
      <c r="AS18" s="96" t="s">
        <v>150</v>
      </c>
      <c r="AT18" s="96" t="s">
        <v>283</v>
      </c>
      <c r="AU18" s="273" t="str">
        <f>休日取得計画表兼実施報告書!AD49</f>
        <v/>
      </c>
      <c r="AW18" s="251"/>
      <c r="AX18" s="93"/>
    </row>
    <row r="19" spans="1:62" ht="19.5" customHeight="1">
      <c r="A19" s="422">
        <f>$AQ$7+7</f>
        <v>45755</v>
      </c>
      <c r="B19" s="423"/>
      <c r="C19" s="423"/>
      <c r="D19" s="420" t="str">
        <f t="shared" si="1"/>
        <v>火</v>
      </c>
      <c r="E19" s="420"/>
      <c r="F19" s="420"/>
      <c r="G19" s="424" t="str" cm="1">
        <f t="array" aca="1" ref="G19" ca="1">IFERROR(IF($AQ$6&lt;=A19,IF(A19&lt;$AQ$4,INDEX(INDIRECT($AQ$10),5,A19-INDEX($AR$12:$AR$31,MATCH(FALSE,INDEX($AQ$12:$AQ$31="",0),0)-1,1)+1),IF(INDEX($AR$12:$AR$31,MATCH(FALSE,INDEX($AQ$12:$AQ$31="",0),0)+1,1,1)&lt;=A19,INDEX(INDIRECT($AS$10),5,INDEX($AR$12:$AR$31,MATCH(FALSE,INDEX($AQ$12:$AQ$31="",0),0)+1,1,1)-A19+1),INDEX(INDIRECT($AQ$9),5,A19-$AQ$4+1))),""),"")</f>
        <v/>
      </c>
      <c r="H19" s="424"/>
      <c r="I19" s="424"/>
      <c r="J19" s="424"/>
      <c r="K19" s="424"/>
      <c r="L19" s="424"/>
      <c r="M19" s="424"/>
      <c r="N19" s="424" cm="1">
        <f t="array" aca="1" ref="N19" ca="1">IFERROR(IF($AQ$6&lt;=A19,(IF(A19&lt;$AQ$4,INDEX(INDIRECT($AQ$10),6,A19-INDEX($AR$12:$AR$31,MATCH(FALSE,INDEX($AQ$12:$AQ$31="",0),0)-1,1)+1),IF(INDEX($AR$12:$AR$31,MATCH(FALSE,INDEX($AQ$12:$AQ$31="",0),0)+1,1,1)&lt;=A19,INDEX(INDIRECT($AS$10),6,INDEX($AR$12:$AR$31,MATCH(FALSE,INDEX($AQ$12:$AQ$31="",0),0)+1,1,1)-A19+1),INDEX(INDIRECT($AQ$9),6,A19-$AQ$4+1)))),""),"")</f>
        <v>0</v>
      </c>
      <c r="O19" s="424"/>
      <c r="P19" s="424"/>
      <c r="Q19" s="424"/>
      <c r="R19" s="424"/>
      <c r="S19" s="424"/>
      <c r="T19" s="425"/>
      <c r="U19" s="426">
        <f>$AQ$7+23</f>
        <v>45771</v>
      </c>
      <c r="V19" s="423"/>
      <c r="W19" s="423"/>
      <c r="X19" s="420" t="str">
        <f t="shared" si="2"/>
        <v>木</v>
      </c>
      <c r="Y19" s="420"/>
      <c r="Z19" s="420"/>
      <c r="AA19" s="420" cm="1">
        <f t="array" aca="1" ref="AA19" ca="1">IFERROR(IF($AQ$6&lt;=U19,(IF(U19&lt;$AQ$4,INDEX(INDIRECT($AQ$10),5,U19-INDEX($AR$12:$AR$31,MATCH(FALSE,INDEX($AQ$12:$AQ$31="",0),0)-1,1)+1),IF(INDEX($AR$12:$AR$31,MATCH(FALSE,INDEX($AQ$12:$AQ$31="",0),0)+1,1,1)&lt;=U19,INDEX(INDIRECT($AS$10),5,INDEX($AR$12:$AR$31,MATCH(FALSE,INDEX($AQ$12:$AQ$31="",0),0)+1,1,1)-U19+1),INDEX(INDIRECT($AQ$9),5,U19-$AQ$4+1)))),""),"")</f>
        <v>0</v>
      </c>
      <c r="AB19" s="420"/>
      <c r="AC19" s="420"/>
      <c r="AD19" s="420"/>
      <c r="AE19" s="420"/>
      <c r="AF19" s="420"/>
      <c r="AG19" s="420"/>
      <c r="AH19" s="420" cm="1">
        <f t="array" aca="1" ref="AH19" ca="1">IFERROR(IF($AQ$6&lt;=U19,(IF(U19&lt;$AQ$4,INDEX(INDIRECT($AQ$10),6,U19-INDEX($AR$12:$AR$31,MATCH(FALSE,INDEX($AQ$12:$AQ$31="",0),0)-1,1)+1),IF(INDEX($AR$12:$AR$31,MATCH(FALSE,INDEX($AQ$12:$AQ$31="",0),0)+1,1,1)&lt;=U19,INDEX(INDIRECT($AS$10),6,INDEX($AR$12:$AR$31,MATCH(FALSE,INDEX($AQ$12:$AQ$31="",0),0)+1,1,1)-U19+1),INDEX(INDIRECT($AQ$9),6,U19-$AQ$4+1)))),""),"")</f>
        <v>0</v>
      </c>
      <c r="AI19" s="420"/>
      <c r="AJ19" s="420"/>
      <c r="AK19" s="420"/>
      <c r="AL19" s="420"/>
      <c r="AM19" s="420"/>
      <c r="AN19" s="421"/>
      <c r="AO19" s="115"/>
      <c r="AP19" s="254">
        <v>8</v>
      </c>
      <c r="AQ19" s="274" t="str">
        <f t="shared" si="0"/>
        <v>U26</v>
      </c>
      <c r="AR19" s="273" t="str">
        <f>休日取得計画表兼実施報告書!C55</f>
        <v/>
      </c>
      <c r="AS19" s="274" t="s">
        <v>151</v>
      </c>
      <c r="AT19" s="274" t="s">
        <v>284</v>
      </c>
      <c r="AU19" s="273" t="str">
        <f>休日取得計画表兼実施報告書!AD55</f>
        <v/>
      </c>
      <c r="AW19" s="251"/>
      <c r="AX19" s="93"/>
    </row>
    <row r="20" spans="1:62" ht="19.5" customHeight="1">
      <c r="A20" s="422">
        <f>$AQ$7+8</f>
        <v>45756</v>
      </c>
      <c r="B20" s="423"/>
      <c r="C20" s="423"/>
      <c r="D20" s="420" t="str">
        <f t="shared" si="1"/>
        <v>水</v>
      </c>
      <c r="E20" s="420"/>
      <c r="F20" s="420"/>
      <c r="G20" s="424" cm="1">
        <f t="array" aca="1" ref="G20" ca="1">IFERROR(IF($AQ$6&lt;=A20,IF(A20&lt;$AQ$4,INDEX(INDIRECT($AQ$10),5,A20-INDEX($AR$12:$AR$31,MATCH(FALSE,INDEX($AQ$12:$AQ$31="",0),0)-1,1)+1),IF(INDEX($AR$12:$AR$31,MATCH(FALSE,INDEX($AQ$12:$AQ$31="",0),0)+1,1,1)&lt;=A20,INDEX(INDIRECT($AS$10),5,INDEX($AR$12:$AR$31,MATCH(FALSE,INDEX($AQ$12:$AQ$31="",0),0)+1,1,1)-A20+1),INDEX(INDIRECT($AQ$9),5,A20-$AQ$4+1))),""),"")</f>
        <v>0</v>
      </c>
      <c r="H20" s="424"/>
      <c r="I20" s="424"/>
      <c r="J20" s="424"/>
      <c r="K20" s="424"/>
      <c r="L20" s="424"/>
      <c r="M20" s="424"/>
      <c r="N20" s="424" cm="1">
        <f t="array" aca="1" ref="N20" ca="1">IFERROR(IF($AQ$6&lt;=A20,(IF(A20&lt;$AQ$4,INDEX(INDIRECT($AQ$10),6,A20-INDEX($AR$12:$AR$31,MATCH(FALSE,INDEX($AQ$12:$AQ$31="",0),0)-1,1)+1),IF(INDEX($AR$12:$AR$31,MATCH(FALSE,INDEX($AQ$12:$AQ$31="",0),0)+1,1,1)&lt;=A20,INDEX(INDIRECT($AS$10),6,INDEX($AR$12:$AR$31,MATCH(FALSE,INDEX($AQ$12:$AQ$31="",0),0)+1,1,1)-A20+1),INDEX(INDIRECT($AQ$9),6,A20-$AQ$4+1)))),""),"")</f>
        <v>0</v>
      </c>
      <c r="O20" s="424"/>
      <c r="P20" s="424"/>
      <c r="Q20" s="424"/>
      <c r="R20" s="424"/>
      <c r="S20" s="424"/>
      <c r="T20" s="425"/>
      <c r="U20" s="426">
        <f>$AQ$7+24</f>
        <v>45772</v>
      </c>
      <c r="V20" s="423"/>
      <c r="W20" s="423"/>
      <c r="X20" s="420" t="str">
        <f t="shared" si="2"/>
        <v>金</v>
      </c>
      <c r="Y20" s="420"/>
      <c r="Z20" s="420"/>
      <c r="AA20" s="420" cm="1">
        <f t="array" aca="1" ref="AA20" ca="1">IFERROR(IF($AQ$6&lt;=U20,(IF(U20&lt;$AQ$4,INDEX(INDIRECT($AQ$10),5,U20-INDEX($AR$12:$AR$31,MATCH(FALSE,INDEX($AQ$12:$AQ$31="",0),0)-1,1)+1),IF(INDEX($AR$12:$AR$31,MATCH(FALSE,INDEX($AQ$12:$AQ$31="",0),0)+1,1,1)&lt;=U20,INDEX(INDIRECT($AS$10),5,INDEX($AR$12:$AR$31,MATCH(FALSE,INDEX($AQ$12:$AQ$31="",0),0)+1,1,1)-U20+1),INDEX(INDIRECT($AQ$9),5,U20-$AQ$4+1)))),""),"")</f>
        <v>0</v>
      </c>
      <c r="AB20" s="420"/>
      <c r="AC20" s="420"/>
      <c r="AD20" s="420"/>
      <c r="AE20" s="420"/>
      <c r="AF20" s="420"/>
      <c r="AG20" s="420"/>
      <c r="AH20" s="420" cm="1">
        <f t="array" aca="1" ref="AH20" ca="1">IFERROR(IF($AQ$6&lt;=U20,(IF(U20&lt;$AQ$4,INDEX(INDIRECT($AQ$10),6,U20-INDEX($AR$12:$AR$31,MATCH(FALSE,INDEX($AQ$12:$AQ$31="",0),0)-1,1)+1),IF(INDEX($AR$12:$AR$31,MATCH(FALSE,INDEX($AQ$12:$AQ$31="",0),0)+1,1,1)&lt;=U20,INDEX(INDIRECT($AS$10),6,INDEX($AR$12:$AR$31,MATCH(FALSE,INDEX($AQ$12:$AQ$31="",0),0)+1,1,1)-U20+1),INDEX(INDIRECT($AQ$9),6,U20-$AQ$4+1)))),""),"")</f>
        <v>0</v>
      </c>
      <c r="AI20" s="420"/>
      <c r="AJ20" s="420"/>
      <c r="AK20" s="420"/>
      <c r="AL20" s="420"/>
      <c r="AM20" s="420"/>
      <c r="AN20" s="421"/>
      <c r="AO20" s="115"/>
      <c r="AP20" s="254">
        <v>9</v>
      </c>
      <c r="AQ20" s="274" t="str">
        <f t="shared" si="0"/>
        <v>U26</v>
      </c>
      <c r="AR20" s="273" t="str">
        <f>休日取得計画表兼実施報告書!C61</f>
        <v/>
      </c>
      <c r="AS20" s="96" t="s">
        <v>152</v>
      </c>
      <c r="AT20" s="96" t="s">
        <v>285</v>
      </c>
      <c r="AU20" s="273" t="str">
        <f>休日取得計画表兼実施報告書!AD61</f>
        <v/>
      </c>
      <c r="AW20" s="251"/>
      <c r="AX20" s="93"/>
    </row>
    <row r="21" spans="1:62" ht="19.5" customHeight="1">
      <c r="A21" s="422">
        <f>$AQ$7+9</f>
        <v>45757</v>
      </c>
      <c r="B21" s="423"/>
      <c r="C21" s="423"/>
      <c r="D21" s="420" t="str">
        <f t="shared" si="1"/>
        <v>木</v>
      </c>
      <c r="E21" s="420"/>
      <c r="F21" s="420"/>
      <c r="G21" s="424" cm="1">
        <f t="array" aca="1" ref="G21" ca="1">IFERROR(IF($AQ$6&lt;=A21,IF(A21&lt;$AQ$4,INDEX(INDIRECT($AQ$10),5,A21-INDEX($AR$12:$AR$31,MATCH(FALSE,INDEX($AQ$12:$AQ$31="",0),0)-1,1)+1),IF(INDEX($AR$12:$AR$31,MATCH(FALSE,INDEX($AQ$12:$AQ$31="",0),0)+1,1,1)&lt;=A21,INDEX(INDIRECT($AS$10),5,INDEX($AR$12:$AR$31,MATCH(FALSE,INDEX($AQ$12:$AQ$31="",0),0)+1,1,1)-A21+1),INDEX(INDIRECT($AQ$9),5,A21-$AQ$4+1))),""),"")</f>
        <v>0</v>
      </c>
      <c r="H21" s="424"/>
      <c r="I21" s="424"/>
      <c r="J21" s="424"/>
      <c r="K21" s="424"/>
      <c r="L21" s="424"/>
      <c r="M21" s="424"/>
      <c r="N21" s="424" cm="1">
        <f t="array" aca="1" ref="N21" ca="1">IFERROR(IF($AQ$6&lt;=A21,(IF(A21&lt;$AQ$4,INDEX(INDIRECT($AQ$10),6,A21-INDEX($AR$12:$AR$31,MATCH(FALSE,INDEX($AQ$12:$AQ$31="",0),0)-1,1)+1),IF(INDEX($AR$12:$AR$31,MATCH(FALSE,INDEX($AQ$12:$AQ$31="",0),0)+1,1,1)&lt;=A21,INDEX(INDIRECT($AS$10),6,INDEX($AR$12:$AR$31,MATCH(FALSE,INDEX($AQ$12:$AQ$31="",0),0)+1,1,1)-A21+1),INDEX(INDIRECT($AQ$9),6,A21-$AQ$4+1)))),""),"")</f>
        <v>0</v>
      </c>
      <c r="O21" s="424"/>
      <c r="P21" s="424"/>
      <c r="Q21" s="424"/>
      <c r="R21" s="424"/>
      <c r="S21" s="424"/>
      <c r="T21" s="425"/>
      <c r="U21" s="426">
        <f>$AQ$7+25</f>
        <v>45773</v>
      </c>
      <c r="V21" s="423"/>
      <c r="W21" s="423"/>
      <c r="X21" s="420" t="str">
        <f t="shared" si="2"/>
        <v>土</v>
      </c>
      <c r="Y21" s="420"/>
      <c r="Z21" s="420"/>
      <c r="AA21" s="420" t="str" cm="1">
        <f t="array" aca="1" ref="AA21" ca="1">IFERROR(IF($AQ$6&lt;=U21,(IF(U21&lt;$AQ$4,INDEX(INDIRECT($AQ$10),5,U21-INDEX($AR$12:$AR$31,MATCH(FALSE,INDEX($AQ$12:$AQ$31="",0),0)-1,1)+1),IF(INDEX($AR$12:$AR$31,MATCH(FALSE,INDEX($AQ$12:$AQ$31="",0),0)+1,1,1)&lt;=U21,INDEX(INDIRECT($AS$10),5,INDEX($AR$12:$AR$31,MATCH(FALSE,INDEX($AQ$12:$AQ$31="",0),0)+1,1,1)-U21+1),INDEX(INDIRECT($AQ$9),5,U21-$AQ$4+1)))),""),"")</f>
        <v>休</v>
      </c>
      <c r="AB21" s="420"/>
      <c r="AC21" s="420"/>
      <c r="AD21" s="420"/>
      <c r="AE21" s="420"/>
      <c r="AF21" s="420"/>
      <c r="AG21" s="420"/>
      <c r="AH21" s="420" cm="1">
        <f t="array" aca="1" ref="AH21" ca="1">IFERROR(IF($AQ$6&lt;=U21,(IF(U21&lt;$AQ$4,INDEX(INDIRECT($AQ$10),6,U21-INDEX($AR$12:$AR$31,MATCH(FALSE,INDEX($AQ$12:$AQ$31="",0),0)-1,1)+1),IF(INDEX($AR$12:$AR$31,MATCH(FALSE,INDEX($AQ$12:$AQ$31="",0),0)+1,1,1)&lt;=U21,INDEX(INDIRECT($AS$10),6,INDEX($AR$12:$AR$31,MATCH(FALSE,INDEX($AQ$12:$AQ$31="",0),0)+1,1,1)-U21+1),INDEX(INDIRECT($AQ$9),6,U21-$AQ$4+1)))),""),"")</f>
        <v>0</v>
      </c>
      <c r="AI21" s="420"/>
      <c r="AJ21" s="420"/>
      <c r="AK21" s="420"/>
      <c r="AL21" s="420"/>
      <c r="AM21" s="420"/>
      <c r="AN21" s="421"/>
      <c r="AO21" s="115"/>
      <c r="AP21" s="254">
        <v>10</v>
      </c>
      <c r="AQ21" s="274" t="str">
        <f t="shared" si="0"/>
        <v>U26</v>
      </c>
      <c r="AR21" s="273" t="str">
        <f>休日取得計画表兼実施報告書!C67</f>
        <v/>
      </c>
      <c r="AS21" s="274" t="s">
        <v>153</v>
      </c>
      <c r="AT21" s="274" t="s">
        <v>286</v>
      </c>
      <c r="AU21" s="273" t="str">
        <f>休日取得計画表兼実施報告書!AD67</f>
        <v/>
      </c>
      <c r="AW21" s="251"/>
      <c r="AX21" s="93"/>
    </row>
    <row r="22" spans="1:62" ht="19.5" customHeight="1">
      <c r="A22" s="422">
        <f>$AQ$7+10</f>
        <v>45758</v>
      </c>
      <c r="B22" s="423"/>
      <c r="C22" s="423"/>
      <c r="D22" s="420" t="str">
        <f t="shared" si="1"/>
        <v>金</v>
      </c>
      <c r="E22" s="420"/>
      <c r="F22" s="420"/>
      <c r="G22" s="424" cm="1">
        <f t="array" aca="1" ref="G22" ca="1">IFERROR(IF($AQ$6&lt;=A22,IF(A22&lt;$AQ$4,INDEX(INDIRECT($AQ$10),5,A22-INDEX($AR$12:$AR$31,MATCH(FALSE,INDEX($AQ$12:$AQ$31="",0),0)-1,1)+1),IF(INDEX($AR$12:$AR$31,MATCH(FALSE,INDEX($AQ$12:$AQ$31="",0),0)+1,1,1)&lt;=A22,INDEX(INDIRECT($AS$10),5,INDEX($AR$12:$AR$31,MATCH(FALSE,INDEX($AQ$12:$AQ$31="",0),0)+1,1,1)-A22+1),INDEX(INDIRECT($AQ$9),5,A22-$AQ$4+1))),""),"")</f>
        <v>0</v>
      </c>
      <c r="H22" s="424"/>
      <c r="I22" s="424"/>
      <c r="J22" s="424"/>
      <c r="K22" s="424"/>
      <c r="L22" s="424"/>
      <c r="M22" s="424"/>
      <c r="N22" s="424" cm="1">
        <f t="array" aca="1" ref="N22" ca="1">IFERROR(IF($AQ$6&lt;=A22,(IF(A22&lt;$AQ$4,INDEX(INDIRECT($AQ$10),6,A22-INDEX($AR$12:$AR$31,MATCH(FALSE,INDEX($AQ$12:$AQ$31="",0),0)-1,1)+1),IF(INDEX($AR$12:$AR$31,MATCH(FALSE,INDEX($AQ$12:$AQ$31="",0),0)+1,1,1)&lt;=A22,INDEX(INDIRECT($AS$10),6,INDEX($AR$12:$AR$31,MATCH(FALSE,INDEX($AQ$12:$AQ$31="",0),0)+1,1,1)-A22+1),INDEX(INDIRECT($AQ$9),6,A22-$AQ$4+1)))),""),"")</f>
        <v>0</v>
      </c>
      <c r="O22" s="424"/>
      <c r="P22" s="424"/>
      <c r="Q22" s="424"/>
      <c r="R22" s="424"/>
      <c r="S22" s="424"/>
      <c r="T22" s="425"/>
      <c r="U22" s="426">
        <f>$AQ$7+26</f>
        <v>45774</v>
      </c>
      <c r="V22" s="423"/>
      <c r="W22" s="423"/>
      <c r="X22" s="420" t="str">
        <f t="shared" si="2"/>
        <v>日</v>
      </c>
      <c r="Y22" s="420"/>
      <c r="Z22" s="420"/>
      <c r="AA22" s="420" t="str" cm="1">
        <f t="array" aca="1" ref="AA22" ca="1">IFERROR(IF($AQ$6&lt;=U22,(IF(U22&lt;$AQ$4,INDEX(INDIRECT($AQ$10),5,U22-INDEX($AR$12:$AR$31,MATCH(FALSE,INDEX($AQ$12:$AQ$31="",0),0)-1,1)+1),IF(INDEX($AR$12:$AR$31,MATCH(FALSE,INDEX($AQ$12:$AQ$31="",0),0)+1,1,1)&lt;=U22,INDEX(INDIRECT($AS$10),5,INDEX($AR$12:$AR$31,MATCH(FALSE,INDEX($AQ$12:$AQ$31="",0),0)+1,1,1)-U22+1),INDEX(INDIRECT($AQ$9),5,U22-$AQ$4+1)))),""),"")</f>
        <v>休</v>
      </c>
      <c r="AB22" s="420"/>
      <c r="AC22" s="420"/>
      <c r="AD22" s="420"/>
      <c r="AE22" s="420"/>
      <c r="AF22" s="420"/>
      <c r="AG22" s="420"/>
      <c r="AH22" s="420" cm="1">
        <f t="array" aca="1" ref="AH22" ca="1">IFERROR(IF($AQ$6&lt;=U22,(IF(U22&lt;$AQ$4,INDEX(INDIRECT($AQ$10),6,U22-INDEX($AR$12:$AR$31,MATCH(FALSE,INDEX($AQ$12:$AQ$31="",0),0)-1,1)+1),IF(INDEX($AR$12:$AR$31,MATCH(FALSE,INDEX($AQ$12:$AQ$31="",0),0)+1,1,1)&lt;=U22,INDEX(INDIRECT($AS$10),6,INDEX($AR$12:$AR$31,MATCH(FALSE,INDEX($AQ$12:$AQ$31="",0),0)+1,1,1)-U22+1),INDEX(INDIRECT($AQ$9),6,U22-$AQ$4+1)))),""),"")</f>
        <v>0</v>
      </c>
      <c r="AI22" s="420"/>
      <c r="AJ22" s="420"/>
      <c r="AK22" s="420"/>
      <c r="AL22" s="420"/>
      <c r="AM22" s="420"/>
      <c r="AN22" s="421"/>
      <c r="AO22" s="115"/>
      <c r="AP22" s="254">
        <v>11</v>
      </c>
      <c r="AQ22" s="274" t="str">
        <f t="shared" si="0"/>
        <v>U26</v>
      </c>
      <c r="AR22" s="273" t="str">
        <f>休日取得計画表兼実施報告書!C73</f>
        <v/>
      </c>
      <c r="AS22" s="96" t="s">
        <v>154</v>
      </c>
      <c r="AT22" s="96" t="s">
        <v>287</v>
      </c>
      <c r="AU22" s="273" t="str">
        <f>休日取得計画表兼実施報告書!AD73</f>
        <v/>
      </c>
      <c r="AW22" s="251"/>
      <c r="AX22" s="93"/>
      <c r="AZ22" s="246"/>
      <c r="BA22" s="246"/>
      <c r="BB22" s="246"/>
      <c r="BC22" s="246"/>
      <c r="BD22" s="246"/>
      <c r="BE22" s="246"/>
      <c r="BF22" s="246"/>
      <c r="BG22" s="246"/>
      <c r="BH22" s="246"/>
      <c r="BI22" s="246"/>
      <c r="BJ22" s="246"/>
    </row>
    <row r="23" spans="1:62" ht="19.5" customHeight="1">
      <c r="A23" s="422">
        <f>$AQ$7+11</f>
        <v>45759</v>
      </c>
      <c r="B23" s="423"/>
      <c r="C23" s="423"/>
      <c r="D23" s="420" t="str">
        <f t="shared" si="1"/>
        <v>土</v>
      </c>
      <c r="E23" s="420"/>
      <c r="F23" s="420"/>
      <c r="G23" s="424" t="str" cm="1">
        <f t="array" aca="1" ref="G23" ca="1">IFERROR(IF($AQ$6&lt;=A23,IF(A23&lt;$AQ$4,INDEX(INDIRECT($AQ$10),5,A23-INDEX($AR$12:$AR$31,MATCH(FALSE,INDEX($AQ$12:$AQ$31="",0),0)-1,1)+1),IF(INDEX($AR$12:$AR$31,MATCH(FALSE,INDEX($AQ$12:$AQ$31="",0),0)+1,1,1)&lt;=A23,INDEX(INDIRECT($AS$10),5,INDEX($AR$12:$AR$31,MATCH(FALSE,INDEX($AQ$12:$AQ$31="",0),0)+1,1,1)-A23+1),INDEX(INDIRECT($AQ$9),5,A23-$AQ$4+1))),""),"")</f>
        <v>休</v>
      </c>
      <c r="H23" s="424"/>
      <c r="I23" s="424"/>
      <c r="J23" s="424"/>
      <c r="K23" s="424"/>
      <c r="L23" s="424"/>
      <c r="M23" s="424"/>
      <c r="N23" s="424" cm="1">
        <f t="array" aca="1" ref="N23" ca="1">IFERROR(IF($AQ$6&lt;=A23,(IF(A23&lt;$AQ$4,INDEX(INDIRECT($AQ$10),6,A23-INDEX($AR$12:$AR$31,MATCH(FALSE,INDEX($AQ$12:$AQ$31="",0),0)-1,1)+1),IF(INDEX($AR$12:$AR$31,MATCH(FALSE,INDEX($AQ$12:$AQ$31="",0),0)+1,1,1)&lt;=A23,INDEX(INDIRECT($AS$10),6,INDEX($AR$12:$AR$31,MATCH(FALSE,INDEX($AQ$12:$AQ$31="",0),0)+1,1,1)-A23+1),INDEX(INDIRECT($AQ$9),6,A23-$AQ$4+1)))),""),"")</f>
        <v>0</v>
      </c>
      <c r="O23" s="424"/>
      <c r="P23" s="424"/>
      <c r="Q23" s="424"/>
      <c r="R23" s="424"/>
      <c r="S23" s="424"/>
      <c r="T23" s="425"/>
      <c r="U23" s="426">
        <f>IF(DAY(EOMONTH(AQ8,0))&gt;=28,$AQ$7+27,"")</f>
        <v>45775</v>
      </c>
      <c r="V23" s="423"/>
      <c r="W23" s="423"/>
      <c r="X23" s="420" t="str">
        <f t="shared" si="2"/>
        <v>月</v>
      </c>
      <c r="Y23" s="420"/>
      <c r="Z23" s="420"/>
      <c r="AA23" s="420" t="str" cm="1">
        <f t="array" aca="1" ref="AA23" ca="1">IFERROR(IF($AQ$6&lt;=U23,(IF(U23&lt;$AQ$4,INDEX(INDIRECT($AQ$10),5,U23-INDEX($AR$12:$AR$31,MATCH(FALSE,INDEX($AQ$12:$AQ$31="",0),0)-1,1)+1),IF(INDEX($AR$12:$AR$31,MATCH(FALSE,INDEX($AQ$12:$AQ$31="",0),0)+1,1,1)&lt;=U23,INDEX(INDIRECT($AS$10),5,INDEX($AR$12:$AR$31,MATCH(FALSE,INDEX($AQ$12:$AQ$31="",0),0)+1,1,1)-U23+1),INDEX(INDIRECT($AQ$9),5,U23-$AQ$4+1)))),""),"")</f>
        <v/>
      </c>
      <c r="AB23" s="420"/>
      <c r="AC23" s="420"/>
      <c r="AD23" s="420"/>
      <c r="AE23" s="420"/>
      <c r="AF23" s="420"/>
      <c r="AG23" s="420"/>
      <c r="AH23" s="420" cm="1">
        <f t="array" aca="1" ref="AH23" ca="1">IFERROR(IF($AQ$6&lt;=U23,(IF(U23&lt;$AQ$4,INDEX(INDIRECT($AQ$10),6,U23-INDEX($AR$12:$AR$31,MATCH(FALSE,INDEX($AQ$12:$AQ$31="",0),0)-1,1)+1),IF(INDEX($AR$12:$AR$31,MATCH(FALSE,INDEX($AQ$12:$AQ$31="",0),0)+1,1,1)&lt;=U23,INDEX(INDIRECT($AS$10),6,INDEX($AR$12:$AR$31,MATCH(FALSE,INDEX($AQ$12:$AQ$31="",0),0)+1,1,1)-U23+1),INDEX(INDIRECT($AQ$9),6,U23-$AQ$4+1)))),""),"")</f>
        <v>0</v>
      </c>
      <c r="AI23" s="420"/>
      <c r="AJ23" s="420"/>
      <c r="AK23" s="420"/>
      <c r="AL23" s="420"/>
      <c r="AM23" s="420"/>
      <c r="AN23" s="421"/>
      <c r="AO23" s="115"/>
      <c r="AP23" s="254">
        <v>12</v>
      </c>
      <c r="AQ23" s="274" t="str">
        <f t="shared" si="0"/>
        <v>U26</v>
      </c>
      <c r="AR23" s="273" t="str">
        <f>休日取得計画表兼実施報告書!C79</f>
        <v/>
      </c>
      <c r="AS23" s="274" t="s">
        <v>155</v>
      </c>
      <c r="AT23" s="274" t="s">
        <v>288</v>
      </c>
      <c r="AU23" s="273" t="str">
        <f>休日取得計画表兼実施報告書!AD79</f>
        <v/>
      </c>
      <c r="AW23" s="251"/>
      <c r="AX23" s="93"/>
    </row>
    <row r="24" spans="1:62" ht="19.5" customHeight="1">
      <c r="A24" s="422">
        <f>$AQ$7+12</f>
        <v>45760</v>
      </c>
      <c r="B24" s="423"/>
      <c r="C24" s="423"/>
      <c r="D24" s="420" t="str">
        <f t="shared" si="1"/>
        <v>日</v>
      </c>
      <c r="E24" s="420"/>
      <c r="F24" s="420"/>
      <c r="G24" s="424" t="str" cm="1">
        <f t="array" aca="1" ref="G24" ca="1">IFERROR(IF($AQ$6&lt;=A24,IF(A24&lt;$AQ$4,INDEX(INDIRECT($AQ$10),5,A24-INDEX($AR$12:$AR$31,MATCH(FALSE,INDEX($AQ$12:$AQ$31="",0),0)-1,1)+1),IF(INDEX($AR$12:$AR$31,MATCH(FALSE,INDEX($AQ$12:$AQ$31="",0),0)+1,1,1)&lt;=A24,INDEX(INDIRECT($AS$10),5,INDEX($AR$12:$AR$31,MATCH(FALSE,INDEX($AQ$12:$AQ$31="",0),0)+1,1,1)-A24+1),INDEX(INDIRECT($AQ$9),5,A24-$AQ$4+1))),""),"")</f>
        <v>休</v>
      </c>
      <c r="H24" s="424"/>
      <c r="I24" s="424"/>
      <c r="J24" s="424"/>
      <c r="K24" s="424"/>
      <c r="L24" s="424"/>
      <c r="M24" s="424"/>
      <c r="N24" s="424" cm="1">
        <f t="array" aca="1" ref="N24" ca="1">IFERROR(IF($AQ$6&lt;=A24,(IF(A24&lt;$AQ$4,INDEX(INDIRECT($AQ$10),6,A24-INDEX($AR$12:$AR$31,MATCH(FALSE,INDEX($AQ$12:$AQ$31="",0),0)-1,1)+1),IF(INDEX($AR$12:$AR$31,MATCH(FALSE,INDEX($AQ$12:$AQ$31="",0),0)+1,1,1)&lt;=A24,INDEX(INDIRECT($AS$10),6,INDEX($AR$12:$AR$31,MATCH(FALSE,INDEX($AQ$12:$AQ$31="",0),0)+1,1,1)-A24+1),INDEX(INDIRECT($AQ$9),6,A24-$AQ$4+1)))),""),"")</f>
        <v>0</v>
      </c>
      <c r="O24" s="424"/>
      <c r="P24" s="424"/>
      <c r="Q24" s="424"/>
      <c r="R24" s="424"/>
      <c r="S24" s="424"/>
      <c r="T24" s="425"/>
      <c r="U24" s="426">
        <f>IF(DAY(EOMONTH(AQ8,0))&gt;=29,$AQ$7+28,"")</f>
        <v>45776</v>
      </c>
      <c r="V24" s="423"/>
      <c r="W24" s="423"/>
      <c r="X24" s="420" t="str">
        <f t="shared" si="2"/>
        <v>火</v>
      </c>
      <c r="Y24" s="420"/>
      <c r="Z24" s="420"/>
      <c r="AA24" s="420" t="str" cm="1">
        <f t="array" aca="1" ref="AA24" ca="1">IFERROR(IF($AQ$6&lt;=U24,(IF(U24&lt;$AQ$4,INDEX(INDIRECT($AQ$10),5,U24-INDEX($AR$12:$AR$31,MATCH(FALSE,INDEX($AQ$12:$AQ$31="",0),0)-1,1)+1),IF(INDEX($AR$12:$AR$31,MATCH(FALSE,INDEX($AQ$12:$AQ$31="",0),0)+1,1,1)&lt;=U24,INDEX(INDIRECT($AS$10),5,INDEX($AR$12:$AR$31,MATCH(FALSE,INDEX($AQ$12:$AQ$31="",0),0)+1,1,1)-U24+1),INDEX(INDIRECT($AQ$9),5,U24-$AQ$4+1)))),""),"")</f>
        <v>休</v>
      </c>
      <c r="AB24" s="420"/>
      <c r="AC24" s="420"/>
      <c r="AD24" s="420"/>
      <c r="AE24" s="420"/>
      <c r="AF24" s="420"/>
      <c r="AG24" s="420"/>
      <c r="AH24" s="420" cm="1">
        <f t="array" aca="1" ref="AH24" ca="1">IFERROR(IF($AQ$6&lt;=U24,(IF(U24&lt;$AQ$4,INDEX(INDIRECT($AQ$10),6,U24-INDEX($AR$12:$AR$31,MATCH(FALSE,INDEX($AQ$12:$AQ$31="",0),0)-1,1)+1),IF(INDEX($AR$12:$AR$31,MATCH(FALSE,INDEX($AQ$12:$AQ$31="",0),0)+1,1,1)&lt;=U24,INDEX(INDIRECT($AS$10),6,INDEX($AR$12:$AR$31,MATCH(FALSE,INDEX($AQ$12:$AQ$31="",0),0)+1,1,1)-U24+1),INDEX(INDIRECT($AQ$9),6,U24-$AQ$4+1)))),""),"")</f>
        <v>0</v>
      </c>
      <c r="AI24" s="420"/>
      <c r="AJ24" s="420"/>
      <c r="AK24" s="420"/>
      <c r="AL24" s="420"/>
      <c r="AM24" s="420"/>
      <c r="AN24" s="421"/>
      <c r="AO24" s="115"/>
      <c r="AP24" s="254">
        <v>13</v>
      </c>
      <c r="AQ24" s="274" t="str">
        <f t="shared" si="0"/>
        <v>U26</v>
      </c>
      <c r="AR24" s="273" t="str">
        <f>休日取得計画表兼実施報告書!C85</f>
        <v/>
      </c>
      <c r="AS24" s="96" t="s">
        <v>156</v>
      </c>
      <c r="AT24" s="96" t="s">
        <v>289</v>
      </c>
      <c r="AU24" s="273" t="str">
        <f>休日取得計画表兼実施報告書!AD85</f>
        <v/>
      </c>
      <c r="AW24" s="251"/>
      <c r="AX24" s="93"/>
    </row>
    <row r="25" spans="1:62" ht="19.5" customHeight="1">
      <c r="A25" s="422">
        <f>$AQ$7+13</f>
        <v>45761</v>
      </c>
      <c r="B25" s="423"/>
      <c r="C25" s="423"/>
      <c r="D25" s="420" t="str">
        <f t="shared" si="1"/>
        <v>月</v>
      </c>
      <c r="E25" s="420"/>
      <c r="F25" s="420"/>
      <c r="G25" s="424" t="str" cm="1">
        <f t="array" aca="1" ref="G25" ca="1">IFERROR(IF($AQ$6&lt;=A25,IF(A25&lt;$AQ$4,INDEX(INDIRECT($AQ$10),5,A25-INDEX($AR$12:$AR$31,MATCH(FALSE,INDEX($AQ$12:$AQ$31="",0),0)-1,1)+1),IF(INDEX($AR$12:$AR$31,MATCH(FALSE,INDEX($AQ$12:$AQ$31="",0),0)+1,1,1)&lt;=A25,INDEX(INDIRECT($AS$10),5,INDEX($AR$12:$AR$31,MATCH(FALSE,INDEX($AQ$12:$AQ$31="",0),0)+1,1,1)-A25+1),INDEX(INDIRECT($AQ$9),5,A25-$AQ$4+1))),""),"")</f>
        <v/>
      </c>
      <c r="H25" s="424"/>
      <c r="I25" s="424"/>
      <c r="J25" s="424"/>
      <c r="K25" s="424"/>
      <c r="L25" s="424"/>
      <c r="M25" s="424"/>
      <c r="N25" s="424" cm="1">
        <f t="array" aca="1" ref="N25" ca="1">IFERROR(IF($AQ$6&lt;=A25,(IF(A25&lt;$AQ$4,INDEX(INDIRECT($AQ$10),6,A25-INDEX($AR$12:$AR$31,MATCH(FALSE,INDEX($AQ$12:$AQ$31="",0),0)-1,1)+1),IF(INDEX($AR$12:$AR$31,MATCH(FALSE,INDEX($AQ$12:$AQ$31="",0),0)+1,1,1)&lt;=A25,INDEX(INDIRECT($AS$10),6,INDEX($AR$12:$AR$31,MATCH(FALSE,INDEX($AQ$12:$AQ$31="",0),0)+1,1,1)-A25+1),INDEX(INDIRECT($AQ$9),6,A25-$AQ$4+1)))),""),"")</f>
        <v>0</v>
      </c>
      <c r="O25" s="424"/>
      <c r="P25" s="424"/>
      <c r="Q25" s="424"/>
      <c r="R25" s="424"/>
      <c r="S25" s="424"/>
      <c r="T25" s="425"/>
      <c r="U25" s="426">
        <f>IF(DAY(EOMONTH(AQ8,0))&gt;=30,$AQ$7+29,"")</f>
        <v>45777</v>
      </c>
      <c r="V25" s="423"/>
      <c r="W25" s="423"/>
      <c r="X25" s="420" t="str">
        <f t="shared" si="2"/>
        <v>水</v>
      </c>
      <c r="Y25" s="420"/>
      <c r="Z25" s="420"/>
      <c r="AA25" s="420" cm="1">
        <f t="array" aca="1" ref="AA25" ca="1">IFERROR(IF($AQ$6&lt;=U25,(IF(U25&lt;$AQ$4,INDEX(INDIRECT($AQ$10),5,U25-INDEX($AR$12:$AR$31,MATCH(FALSE,INDEX($AQ$12:$AQ$31="",0),0)-1,1)+1),IF(INDEX($AR$12:$AR$31,MATCH(FALSE,INDEX($AQ$12:$AQ$31="",0),0)+1,1,1)&lt;=U25,INDEX(INDIRECT($AS$10),5,INDEX($AR$12:$AR$31,MATCH(FALSE,INDEX($AQ$12:$AQ$31="",0),0)+1,1,1)-U25+1),INDEX(INDIRECT($AQ$9),5,U25-$AQ$4+1)))),""),"")</f>
        <v>0</v>
      </c>
      <c r="AB25" s="420"/>
      <c r="AC25" s="420"/>
      <c r="AD25" s="420"/>
      <c r="AE25" s="420"/>
      <c r="AF25" s="420"/>
      <c r="AG25" s="420"/>
      <c r="AH25" s="420" cm="1">
        <f t="array" aca="1" ref="AH25" ca="1">IFERROR(IF($AQ$6&lt;=U25,(IF(U25&lt;$AQ$4,INDEX(INDIRECT($AQ$10),6,U25-INDEX($AR$12:$AR$31,MATCH(FALSE,INDEX($AQ$12:$AQ$31="",0),0)-1,1)+1),IF(INDEX($AR$12:$AR$31,MATCH(FALSE,INDEX($AQ$12:$AQ$31="",0),0)+1,1,1)&lt;=U25,INDEX(INDIRECT($AS$10),6,INDEX($AR$12:$AR$31,MATCH(FALSE,INDEX($AQ$12:$AQ$31="",0),0)+1,1,1)-U25+1),INDEX(INDIRECT($AQ$9),6,U25-$AQ$4+1)))),""),"")</f>
        <v>0</v>
      </c>
      <c r="AI25" s="420"/>
      <c r="AJ25" s="420"/>
      <c r="AK25" s="420"/>
      <c r="AL25" s="420"/>
      <c r="AM25" s="420"/>
      <c r="AN25" s="421"/>
      <c r="AO25" s="115"/>
      <c r="AP25" s="254">
        <v>14</v>
      </c>
      <c r="AQ25" s="274" t="str">
        <f t="shared" si="0"/>
        <v>U26</v>
      </c>
      <c r="AR25" s="273" t="str">
        <f>休日取得計画表兼実施報告書!C91</f>
        <v/>
      </c>
      <c r="AS25" s="274" t="s">
        <v>157</v>
      </c>
      <c r="AT25" s="274" t="s">
        <v>290</v>
      </c>
      <c r="AU25" s="273" t="str">
        <f>休日取得計画表兼実施報告書!AD91</f>
        <v/>
      </c>
      <c r="AW25" s="251"/>
      <c r="AX25" s="93"/>
    </row>
    <row r="26" spans="1:62" ht="19.5" customHeight="1">
      <c r="A26" s="422">
        <f>$AQ$7+14</f>
        <v>45762</v>
      </c>
      <c r="B26" s="423"/>
      <c r="C26" s="423"/>
      <c r="D26" s="420" t="str">
        <f t="shared" si="1"/>
        <v>火</v>
      </c>
      <c r="E26" s="420"/>
      <c r="F26" s="420"/>
      <c r="G26" s="424" t="str" cm="1">
        <f t="array" aca="1" ref="G26" ca="1">IFERROR(IF($AQ$6&lt;=A26,IF(A26&lt;$AQ$4,INDEX(INDIRECT($AQ$10),5,A26-INDEX($AR$12:$AR$31,MATCH(FALSE,INDEX($AQ$12:$AQ$31="",0),0)-1,1)+1),IF(INDEX($AR$12:$AR$31,MATCH(FALSE,INDEX($AQ$12:$AQ$31="",0),0)+1,1,1)&lt;=A26,INDEX(INDIRECT($AS$10),5,INDEX($AR$12:$AR$31,MATCH(FALSE,INDEX($AQ$12:$AQ$31="",0),0)+1,1,1)-A26+1),INDEX(INDIRECT($AQ$9),5,A26-$AQ$4+1))),""),"")</f>
        <v/>
      </c>
      <c r="H26" s="424"/>
      <c r="I26" s="424"/>
      <c r="J26" s="424"/>
      <c r="K26" s="424"/>
      <c r="L26" s="424"/>
      <c r="M26" s="424"/>
      <c r="N26" s="424" cm="1">
        <f t="array" aca="1" ref="N26" ca="1">IFERROR(IF($AQ$6&lt;=A26,(IF(A26&lt;$AQ$4,INDEX(INDIRECT($AQ$10),6,A26-INDEX($AR$12:$AR$31,MATCH(FALSE,INDEX($AQ$12:$AQ$31="",0),0)-1,1)+1),IF(INDEX($AR$12:$AR$31,MATCH(FALSE,INDEX($AQ$12:$AQ$31="",0),0)+1,1,1)&lt;=A26,INDEX(INDIRECT($AS$10),6,INDEX($AR$12:$AR$31,MATCH(FALSE,INDEX($AQ$12:$AQ$31="",0),0)+1,1,1)-A26+1),INDEX(INDIRECT($AQ$9),6,A26-$AQ$4+1)))),""),"")</f>
        <v>0</v>
      </c>
      <c r="O26" s="424"/>
      <c r="P26" s="424"/>
      <c r="Q26" s="424"/>
      <c r="R26" s="424"/>
      <c r="S26" s="424"/>
      <c r="T26" s="425"/>
      <c r="U26" s="426" t="str">
        <f>IF(DAY(EOMONTH(AQ8,0))&gt;=31,$AQ$7+30,"")</f>
        <v/>
      </c>
      <c r="V26" s="423"/>
      <c r="W26" s="423"/>
      <c r="X26" s="420" t="str">
        <f t="shared" si="2"/>
        <v/>
      </c>
      <c r="Y26" s="420"/>
      <c r="Z26" s="420"/>
      <c r="AA26" s="420" t="str" cm="1">
        <f t="array" aca="1" ref="AA26" ca="1">IFERROR(IF($AQ$6&lt;=U26,(IF(U26&lt;$AQ$4,INDEX(INDIRECT($AQ$10),5,U26-INDEX($AR$12:$AR$31,MATCH(FALSE,INDEX($AQ$12:$AQ$31="",0),0)-1,1)+1),IF(INDEX($AR$12:$AR$31,MATCH(FALSE,INDEX($AQ$12:$AQ$31="",0),0)+1,1,1)&lt;=U26,INDEX(INDIRECT($AS$10),5,INDEX($AR$12:$AR$31,MATCH(FALSE,INDEX($AQ$12:$AQ$31="",0),0)+1,1,1)-U26+1),INDEX(INDIRECT($AQ$9),5,U26-$AQ$4+1)))),""),"")</f>
        <v/>
      </c>
      <c r="AB26" s="420"/>
      <c r="AC26" s="420"/>
      <c r="AD26" s="420"/>
      <c r="AE26" s="420"/>
      <c r="AF26" s="420"/>
      <c r="AG26" s="420"/>
      <c r="AH26" s="420" t="str" cm="1">
        <f t="array" aca="1" ref="AH26" ca="1">IFERROR(IF($AQ$6&lt;=U26,(IF(U26&lt;$AQ$4,INDEX(INDIRECT($AQ$10),6,U26-INDEX($AR$12:$AR$31,MATCH(FALSE,INDEX($AQ$12:$AQ$31="",0),0)-1,1)+1),IF(INDEX($AR$12:$AR$31,MATCH(FALSE,INDEX($AQ$12:$AQ$31="",0),0)+1,1,1)&lt;=U26,INDEX(INDIRECT($AS$10),6,INDEX($AR$12:$AR$31,MATCH(FALSE,INDEX($AQ$12:$AQ$31="",0),0)+1,1,1)-U26+1),INDEX(INDIRECT($AQ$9),6,U26-$AQ$4+1)))),""),"")</f>
        <v/>
      </c>
      <c r="AI26" s="420"/>
      <c r="AJ26" s="420"/>
      <c r="AK26" s="420"/>
      <c r="AL26" s="420"/>
      <c r="AM26" s="420"/>
      <c r="AN26" s="421"/>
      <c r="AO26" s="115"/>
      <c r="AP26" s="254">
        <v>15</v>
      </c>
      <c r="AQ26" s="274" t="str">
        <f t="shared" si="0"/>
        <v>U26</v>
      </c>
      <c r="AR26" s="273" t="str">
        <f>休日取得計画表兼実施報告書!C97</f>
        <v/>
      </c>
      <c r="AS26" s="96" t="s">
        <v>158</v>
      </c>
      <c r="AT26" s="96" t="s">
        <v>291</v>
      </c>
      <c r="AU26" s="273" t="str">
        <f>休日取得計画表兼実施報告書!AD97</f>
        <v/>
      </c>
      <c r="AW26" s="251"/>
      <c r="AX26" s="93"/>
    </row>
    <row r="27" spans="1:62" ht="19.5" customHeight="1" thickBot="1">
      <c r="A27" s="433">
        <f>$AQ$7+15</f>
        <v>45763</v>
      </c>
      <c r="B27" s="434"/>
      <c r="C27" s="434"/>
      <c r="D27" s="435" t="str">
        <f t="shared" si="1"/>
        <v>水</v>
      </c>
      <c r="E27" s="435"/>
      <c r="F27" s="435"/>
      <c r="G27" s="436" cm="1">
        <f t="array" aca="1" ref="G27" ca="1">IFERROR(IF($AQ$6&lt;=A27,IF(A27&lt;$AQ$4,INDEX(INDIRECT($AQ$10),5,A27-INDEX($AR$12:$AR$31,MATCH(FALSE,INDEX($AQ$12:$AQ$31="",0),0)-1,1)+1),IF(INDEX($AR$12:$AR$31,MATCH(FALSE,INDEX($AQ$12:$AQ$31="",0),0)+1,1,1)&lt;=A27,INDEX(INDIRECT($AS$10),5,INDEX($AR$12:$AR$31,MATCH(FALSE,INDEX($AQ$12:$AQ$31="",0),0)+1,1,1)-A27+1),INDEX(INDIRECT($AQ$9),5,A27-$AQ$4+1))),""),"")</f>
        <v>0</v>
      </c>
      <c r="H27" s="436"/>
      <c r="I27" s="436"/>
      <c r="J27" s="436"/>
      <c r="K27" s="436"/>
      <c r="L27" s="436"/>
      <c r="M27" s="436"/>
      <c r="N27" s="436" cm="1">
        <f t="array" aca="1" ref="N27" ca="1">IFERROR(IF($AQ$6&lt;=A27,(IF(A27&lt;$AQ$4,INDEX(INDIRECT($AQ$10),6,A27-INDEX($AR$12:$AR$31,MATCH(FALSE,INDEX($AQ$12:$AQ$31="",0),0)-1,1)+1),IF(INDEX($AR$12:$AR$31,MATCH(FALSE,INDEX($AQ$12:$AQ$31="",0),0)+1,1,1)&lt;=A27,INDEX(INDIRECT($AS$10),6,INDEX($AR$12:$AR$31,MATCH(FALSE,INDEX($AQ$12:$AQ$31="",0),0)+1,1,1)-A27+1),INDEX(INDIRECT($AQ$9),6,A27-$AQ$4+1)))),""),"")</f>
        <v>0</v>
      </c>
      <c r="O27" s="436"/>
      <c r="P27" s="436"/>
      <c r="Q27" s="436"/>
      <c r="R27" s="436"/>
      <c r="S27" s="436"/>
      <c r="T27" s="437"/>
      <c r="U27" s="438"/>
      <c r="V27" s="439"/>
      <c r="W27" s="439"/>
      <c r="X27" s="430"/>
      <c r="Y27" s="430"/>
      <c r="Z27" s="430"/>
      <c r="AA27" s="430"/>
      <c r="AB27" s="430"/>
      <c r="AC27" s="430"/>
      <c r="AD27" s="430"/>
      <c r="AE27" s="430"/>
      <c r="AF27" s="430"/>
      <c r="AG27" s="430"/>
      <c r="AH27" s="430"/>
      <c r="AI27" s="430"/>
      <c r="AJ27" s="430"/>
      <c r="AK27" s="430"/>
      <c r="AL27" s="430"/>
      <c r="AM27" s="430"/>
      <c r="AN27" s="431"/>
      <c r="AO27" s="115"/>
      <c r="AP27" s="254">
        <v>16</v>
      </c>
      <c r="AQ27" s="274" t="str">
        <f t="shared" si="0"/>
        <v>U26</v>
      </c>
      <c r="AR27" s="273" t="str">
        <f>休日取得計画表兼実施報告書!C103</f>
        <v/>
      </c>
      <c r="AS27" s="274" t="s">
        <v>159</v>
      </c>
      <c r="AT27" s="274" t="s">
        <v>292</v>
      </c>
      <c r="AU27" s="273" t="str">
        <f>休日取得計画表兼実施報告書!AD103</f>
        <v/>
      </c>
      <c r="AW27" s="251"/>
      <c r="AX27" s="93"/>
    </row>
    <row r="28" spans="1:62" ht="19.5" customHeight="1">
      <c r="A28" s="432"/>
      <c r="B28" s="432"/>
      <c r="C28" s="432"/>
      <c r="D28" s="234"/>
      <c r="E28" s="234"/>
      <c r="F28" s="234"/>
      <c r="G28" s="234"/>
      <c r="H28" s="234"/>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c r="AP28" s="254">
        <v>17</v>
      </c>
      <c r="AQ28" s="274" t="str">
        <f t="shared" si="0"/>
        <v>U26</v>
      </c>
      <c r="AR28" s="273" t="str">
        <f>休日取得計画表兼実施報告書!C109</f>
        <v/>
      </c>
      <c r="AS28" s="96" t="s">
        <v>160</v>
      </c>
      <c r="AT28" s="96" t="s">
        <v>293</v>
      </c>
      <c r="AU28" s="273" t="str">
        <f>休日取得計画表兼実施報告書!AD109</f>
        <v/>
      </c>
      <c r="AW28" s="93"/>
    </row>
    <row r="29" spans="1:62" ht="19.5" customHeight="1">
      <c r="A29" s="440" t="s">
        <v>253</v>
      </c>
      <c r="B29" s="441"/>
      <c r="C29" s="441"/>
      <c r="D29" s="441"/>
      <c r="E29" s="441"/>
      <c r="F29" s="441"/>
      <c r="G29" s="241"/>
      <c r="H29" s="240" t="s">
        <v>314</v>
      </c>
      <c r="I29" s="240"/>
      <c r="J29" s="240"/>
      <c r="K29" s="240"/>
      <c r="L29" s="240"/>
      <c r="M29" s="240"/>
      <c r="N29" s="240"/>
      <c r="O29" s="240"/>
      <c r="P29" s="240"/>
      <c r="Q29" s="241"/>
      <c r="R29" s="442" t="s">
        <v>311</v>
      </c>
      <c r="S29" s="442"/>
      <c r="T29" s="442"/>
      <c r="U29" s="442"/>
      <c r="V29" s="442"/>
      <c r="W29" s="442"/>
      <c r="X29" s="442"/>
      <c r="Y29" s="442"/>
      <c r="Z29" s="442"/>
      <c r="AA29" s="442"/>
      <c r="AB29" s="442"/>
      <c r="AC29" s="442"/>
      <c r="AD29" s="442"/>
      <c r="AE29" s="442"/>
      <c r="AF29" s="442"/>
      <c r="AG29" s="442"/>
      <c r="AH29" s="442"/>
      <c r="AI29" s="442"/>
      <c r="AJ29" s="442"/>
      <c r="AK29" s="442"/>
      <c r="AL29" s="442"/>
      <c r="AM29" s="442"/>
      <c r="AN29" s="443"/>
      <c r="AO29" s="280" t="s">
        <v>338</v>
      </c>
      <c r="AP29" s="254">
        <v>18</v>
      </c>
      <c r="AQ29" s="274" t="str">
        <f t="shared" si="0"/>
        <v>U26</v>
      </c>
      <c r="AR29" s="273" t="str">
        <f>休日取得計画表兼実施報告書!C115</f>
        <v/>
      </c>
      <c r="AS29" s="274" t="s">
        <v>161</v>
      </c>
      <c r="AT29" s="274" t="s">
        <v>294</v>
      </c>
      <c r="AU29" s="273" t="str">
        <f>休日取得計画表兼実施報告書!AD115</f>
        <v/>
      </c>
      <c r="AW29" s="93"/>
    </row>
    <row r="30" spans="1:62" ht="19.5" customHeight="1">
      <c r="A30" s="284"/>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c r="AJ30" s="285"/>
      <c r="AK30" s="285"/>
      <c r="AL30" s="285"/>
      <c r="AM30" s="285"/>
      <c r="AN30" s="286"/>
      <c r="AO30" s="257"/>
      <c r="AP30" s="254">
        <v>19</v>
      </c>
      <c r="AQ30" s="274" t="str">
        <f t="shared" si="0"/>
        <v>U26</v>
      </c>
      <c r="AR30" s="273" t="str">
        <f>休日取得計画表兼実施報告書!C121</f>
        <v/>
      </c>
      <c r="AS30" s="96" t="s">
        <v>162</v>
      </c>
      <c r="AT30" s="96" t="s">
        <v>295</v>
      </c>
      <c r="AU30" s="273" t="str">
        <f>休日取得計画表兼実施報告書!AD121</f>
        <v/>
      </c>
      <c r="AW30" s="281" t="s">
        <v>339</v>
      </c>
    </row>
    <row r="31" spans="1:62" ht="19.5" customHeight="1">
      <c r="A31" s="427"/>
      <c r="B31" s="428"/>
      <c r="C31" s="428"/>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28"/>
      <c r="AL31" s="428"/>
      <c r="AM31" s="428"/>
      <c r="AN31" s="429"/>
      <c r="AO31" s="257"/>
      <c r="AP31" s="254">
        <v>20</v>
      </c>
      <c r="AQ31" s="274" t="str">
        <f t="shared" si="0"/>
        <v>U26</v>
      </c>
      <c r="AR31" s="273" t="str">
        <f>休日取得計画表兼実施報告書!C127</f>
        <v/>
      </c>
      <c r="AS31" s="274" t="s">
        <v>163</v>
      </c>
      <c r="AT31" s="274" t="s">
        <v>296</v>
      </c>
      <c r="AU31" s="273" t="str">
        <f>休日取得計画表兼実施報告書!AD127</f>
        <v/>
      </c>
      <c r="AW31" s="282" t="s">
        <v>340</v>
      </c>
    </row>
    <row r="32" spans="1:62" ht="19.5" customHeight="1">
      <c r="A32" s="427"/>
      <c r="B32" s="428"/>
      <c r="C32" s="428"/>
      <c r="D32" s="428"/>
      <c r="E32" s="428"/>
      <c r="F32" s="428"/>
      <c r="G32" s="428"/>
      <c r="H32" s="428"/>
      <c r="I32" s="428"/>
      <c r="J32" s="428"/>
      <c r="K32" s="428"/>
      <c r="L32" s="428"/>
      <c r="M32" s="428"/>
      <c r="N32" s="428"/>
      <c r="O32" s="428"/>
      <c r="P32" s="428"/>
      <c r="Q32" s="428"/>
      <c r="R32" s="428"/>
      <c r="S32" s="428"/>
      <c r="T32" s="428"/>
      <c r="U32" s="428"/>
      <c r="V32" s="428"/>
      <c r="W32" s="428"/>
      <c r="X32" s="428"/>
      <c r="Y32" s="428"/>
      <c r="Z32" s="428"/>
      <c r="AA32" s="428"/>
      <c r="AB32" s="428"/>
      <c r="AC32" s="428"/>
      <c r="AD32" s="428"/>
      <c r="AE32" s="428"/>
      <c r="AF32" s="428"/>
      <c r="AG32" s="428"/>
      <c r="AH32" s="428"/>
      <c r="AI32" s="428"/>
      <c r="AJ32" s="428"/>
      <c r="AK32" s="428"/>
      <c r="AL32" s="428"/>
      <c r="AM32" s="428"/>
      <c r="AN32" s="429"/>
    </row>
    <row r="33" spans="1:42" ht="19.5" customHeight="1">
      <c r="A33" s="427"/>
      <c r="B33" s="428"/>
      <c r="C33" s="428"/>
      <c r="D33" s="428"/>
      <c r="E33" s="428"/>
      <c r="F33" s="428"/>
      <c r="G33" s="428"/>
      <c r="H33" s="428"/>
      <c r="I33" s="428"/>
      <c r="J33" s="428"/>
      <c r="K33" s="428"/>
      <c r="L33" s="428"/>
      <c r="M33" s="428"/>
      <c r="N33" s="428"/>
      <c r="O33" s="428"/>
      <c r="P33" s="428"/>
      <c r="Q33" s="428"/>
      <c r="R33" s="428"/>
      <c r="S33" s="428"/>
      <c r="T33" s="428"/>
      <c r="U33" s="428"/>
      <c r="V33" s="428"/>
      <c r="W33" s="428"/>
      <c r="X33" s="428"/>
      <c r="Y33" s="428"/>
      <c r="Z33" s="428"/>
      <c r="AA33" s="428"/>
      <c r="AB33" s="428"/>
      <c r="AC33" s="428"/>
      <c r="AD33" s="428"/>
      <c r="AE33" s="428"/>
      <c r="AF33" s="428"/>
      <c r="AG33" s="428"/>
      <c r="AH33" s="428"/>
      <c r="AI33" s="428"/>
      <c r="AJ33" s="428"/>
      <c r="AK33" s="428"/>
      <c r="AL33" s="428"/>
      <c r="AM33" s="428"/>
      <c r="AN33" s="429"/>
      <c r="AP33" s="277" t="s">
        <v>316</v>
      </c>
    </row>
    <row r="34" spans="1:42" ht="19.5" customHeight="1">
      <c r="A34" s="427"/>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428"/>
      <c r="AF34" s="428"/>
      <c r="AG34" s="428"/>
      <c r="AH34" s="428"/>
      <c r="AI34" s="428"/>
      <c r="AJ34" s="428"/>
      <c r="AK34" s="428"/>
      <c r="AL34" s="428"/>
      <c r="AM34" s="428"/>
      <c r="AN34" s="429"/>
      <c r="AP34" s="278" t="s">
        <v>311</v>
      </c>
    </row>
    <row r="35" spans="1:42" ht="19.5" customHeight="1">
      <c r="A35" s="427"/>
      <c r="B35" s="428"/>
      <c r="C35" s="428"/>
      <c r="D35" s="428"/>
      <c r="E35" s="428"/>
      <c r="F35" s="428"/>
      <c r="G35" s="428"/>
      <c r="H35" s="428"/>
      <c r="I35" s="428"/>
      <c r="J35" s="428"/>
      <c r="K35" s="428"/>
      <c r="L35" s="428"/>
      <c r="M35" s="428"/>
      <c r="N35" s="428"/>
      <c r="O35" s="428"/>
      <c r="P35" s="428"/>
      <c r="Q35" s="428"/>
      <c r="R35" s="428"/>
      <c r="S35" s="428"/>
      <c r="T35" s="428"/>
      <c r="U35" s="428"/>
      <c r="V35" s="428"/>
      <c r="W35" s="428"/>
      <c r="X35" s="428"/>
      <c r="Y35" s="428"/>
      <c r="Z35" s="428"/>
      <c r="AA35" s="428"/>
      <c r="AB35" s="428"/>
      <c r="AC35" s="428"/>
      <c r="AD35" s="428"/>
      <c r="AE35" s="428"/>
      <c r="AF35" s="428"/>
      <c r="AG35" s="428"/>
      <c r="AH35" s="428"/>
      <c r="AI35" s="428"/>
      <c r="AJ35" s="428"/>
      <c r="AK35" s="428"/>
      <c r="AL35" s="428"/>
      <c r="AM35" s="428"/>
      <c r="AN35" s="429"/>
      <c r="AP35" s="278" t="s">
        <v>312</v>
      </c>
    </row>
    <row r="36" spans="1:42" ht="19.5" customHeight="1">
      <c r="A36" s="427"/>
      <c r="B36" s="428"/>
      <c r="C36" s="428"/>
      <c r="D36" s="428"/>
      <c r="E36" s="428"/>
      <c r="F36" s="428"/>
      <c r="G36" s="428"/>
      <c r="H36" s="428"/>
      <c r="I36" s="428"/>
      <c r="J36" s="428"/>
      <c r="K36" s="428"/>
      <c r="L36" s="428"/>
      <c r="M36" s="428"/>
      <c r="N36" s="428"/>
      <c r="O36" s="428"/>
      <c r="P36" s="428"/>
      <c r="Q36" s="428"/>
      <c r="R36" s="428"/>
      <c r="S36" s="428"/>
      <c r="T36" s="428"/>
      <c r="U36" s="428"/>
      <c r="V36" s="428"/>
      <c r="W36" s="428"/>
      <c r="X36" s="428"/>
      <c r="Y36" s="428"/>
      <c r="Z36" s="428"/>
      <c r="AA36" s="428"/>
      <c r="AB36" s="428"/>
      <c r="AC36" s="428"/>
      <c r="AD36" s="428"/>
      <c r="AE36" s="428"/>
      <c r="AF36" s="428"/>
      <c r="AG36" s="428"/>
      <c r="AH36" s="428"/>
      <c r="AI36" s="428"/>
      <c r="AJ36" s="428"/>
      <c r="AK36" s="428"/>
      <c r="AL36" s="428"/>
      <c r="AM36" s="428"/>
      <c r="AN36" s="429"/>
      <c r="AP36" s="278" t="s">
        <v>315</v>
      </c>
    </row>
    <row r="37" spans="1:42" ht="19.5" customHeight="1">
      <c r="AP37" s="279" t="s">
        <v>313</v>
      </c>
    </row>
    <row r="38" spans="1:42" ht="19.5" customHeight="1"/>
    <row r="39" spans="1:42" ht="19.5" customHeight="1"/>
    <row r="40" spans="1:42" ht="19.5" customHeight="1"/>
  </sheetData>
  <mergeCells count="173">
    <mergeCell ref="A36:AN36"/>
    <mergeCell ref="A31:AN31"/>
    <mergeCell ref="A32:AN32"/>
    <mergeCell ref="A33:AN33"/>
    <mergeCell ref="A34:AN34"/>
    <mergeCell ref="A35:AN35"/>
    <mergeCell ref="AA27:AG27"/>
    <mergeCell ref="AH27:AN27"/>
    <mergeCell ref="A28:C28"/>
    <mergeCell ref="A27:C27"/>
    <mergeCell ref="D27:F27"/>
    <mergeCell ref="G27:M27"/>
    <mergeCell ref="N27:T27"/>
    <mergeCell ref="U27:W27"/>
    <mergeCell ref="X27:Z27"/>
    <mergeCell ref="A29:F29"/>
    <mergeCell ref="R29:AN29"/>
    <mergeCell ref="AA25:AG25"/>
    <mergeCell ref="AH25:AN25"/>
    <mergeCell ref="A26:C26"/>
    <mergeCell ref="D26:F26"/>
    <mergeCell ref="G26:M26"/>
    <mergeCell ref="N26:T26"/>
    <mergeCell ref="U26:W26"/>
    <mergeCell ref="X26:Z26"/>
    <mergeCell ref="AA26:AG26"/>
    <mergeCell ref="AH26:AN26"/>
    <mergeCell ref="A25:C25"/>
    <mergeCell ref="D25:F25"/>
    <mergeCell ref="G25:M25"/>
    <mergeCell ref="N25:T25"/>
    <mergeCell ref="U25:W25"/>
    <mergeCell ref="X25:Z25"/>
    <mergeCell ref="AA23:AG23"/>
    <mergeCell ref="AH23:AN23"/>
    <mergeCell ref="A24:C24"/>
    <mergeCell ref="D24:F24"/>
    <mergeCell ref="G24:M24"/>
    <mergeCell ref="N24:T24"/>
    <mergeCell ref="U24:W24"/>
    <mergeCell ref="X24:Z24"/>
    <mergeCell ref="AA24:AG24"/>
    <mergeCell ref="AH24:AN24"/>
    <mergeCell ref="A23:C23"/>
    <mergeCell ref="D23:F23"/>
    <mergeCell ref="G23:M23"/>
    <mergeCell ref="N23:T23"/>
    <mergeCell ref="U23:W23"/>
    <mergeCell ref="X23:Z23"/>
    <mergeCell ref="AA21:AG21"/>
    <mergeCell ref="AH21:AN21"/>
    <mergeCell ref="A22:C22"/>
    <mergeCell ref="D22:F22"/>
    <mergeCell ref="G22:M22"/>
    <mergeCell ref="N22:T22"/>
    <mergeCell ref="U22:W22"/>
    <mergeCell ref="X22:Z22"/>
    <mergeCell ref="AA22:AG22"/>
    <mergeCell ref="AH22:AN22"/>
    <mergeCell ref="A21:C21"/>
    <mergeCell ref="D21:F21"/>
    <mergeCell ref="G21:M21"/>
    <mergeCell ref="N21:T21"/>
    <mergeCell ref="U21:W21"/>
    <mergeCell ref="X21:Z21"/>
    <mergeCell ref="AA19:AG19"/>
    <mergeCell ref="AH19:AN19"/>
    <mergeCell ref="A20:C20"/>
    <mergeCell ref="D20:F20"/>
    <mergeCell ref="G20:M20"/>
    <mergeCell ref="N20:T20"/>
    <mergeCell ref="U20:W20"/>
    <mergeCell ref="X20:Z20"/>
    <mergeCell ref="AA20:AG20"/>
    <mergeCell ref="AH20:AN20"/>
    <mergeCell ref="A19:C19"/>
    <mergeCell ref="D19:F19"/>
    <mergeCell ref="G19:M19"/>
    <mergeCell ref="N19:T19"/>
    <mergeCell ref="U19:W19"/>
    <mergeCell ref="X19:Z19"/>
    <mergeCell ref="AA17:AG17"/>
    <mergeCell ref="AH17:AN17"/>
    <mergeCell ref="A18:C18"/>
    <mergeCell ref="D18:F18"/>
    <mergeCell ref="G18:M18"/>
    <mergeCell ref="N18:T18"/>
    <mergeCell ref="U18:W18"/>
    <mergeCell ref="X18:Z18"/>
    <mergeCell ref="AA18:AG18"/>
    <mergeCell ref="AH18:AN18"/>
    <mergeCell ref="A17:C17"/>
    <mergeCell ref="D17:F17"/>
    <mergeCell ref="G17:M17"/>
    <mergeCell ref="N17:T17"/>
    <mergeCell ref="U17:W17"/>
    <mergeCell ref="X17:Z17"/>
    <mergeCell ref="AA15:AG15"/>
    <mergeCell ref="AH15:AN15"/>
    <mergeCell ref="A16:C16"/>
    <mergeCell ref="D16:F16"/>
    <mergeCell ref="G16:M16"/>
    <mergeCell ref="N16:T16"/>
    <mergeCell ref="U16:W16"/>
    <mergeCell ref="X16:Z16"/>
    <mergeCell ref="AA16:AG16"/>
    <mergeCell ref="AH16:AN16"/>
    <mergeCell ref="A15:C15"/>
    <mergeCell ref="D15:F15"/>
    <mergeCell ref="G15:M15"/>
    <mergeCell ref="N15:T15"/>
    <mergeCell ref="U15:W15"/>
    <mergeCell ref="X15:Z15"/>
    <mergeCell ref="AA13:AG13"/>
    <mergeCell ref="AH13:AN13"/>
    <mergeCell ref="A14:C14"/>
    <mergeCell ref="D14:F14"/>
    <mergeCell ref="G14:M14"/>
    <mergeCell ref="N14:T14"/>
    <mergeCell ref="U14:W14"/>
    <mergeCell ref="X14:Z14"/>
    <mergeCell ref="AA14:AG14"/>
    <mergeCell ref="AH14:AN14"/>
    <mergeCell ref="A13:C13"/>
    <mergeCell ref="D13:F13"/>
    <mergeCell ref="G13:M13"/>
    <mergeCell ref="N13:T13"/>
    <mergeCell ref="U13:W13"/>
    <mergeCell ref="X13:Z13"/>
    <mergeCell ref="AA11:AG11"/>
    <mergeCell ref="AH11:AN11"/>
    <mergeCell ref="A12:C12"/>
    <mergeCell ref="D12:F12"/>
    <mergeCell ref="G12:M12"/>
    <mergeCell ref="N12:T12"/>
    <mergeCell ref="U12:W12"/>
    <mergeCell ref="X12:Z12"/>
    <mergeCell ref="AA12:AG12"/>
    <mergeCell ref="AH12:AN12"/>
    <mergeCell ref="A11:C11"/>
    <mergeCell ref="D11:F11"/>
    <mergeCell ref="G11:M11"/>
    <mergeCell ref="N11:T11"/>
    <mergeCell ref="U11:W11"/>
    <mergeCell ref="X11:Z11"/>
    <mergeCell ref="A6:F6"/>
    <mergeCell ref="G6:I6"/>
    <mergeCell ref="J6:K6"/>
    <mergeCell ref="L6:M6"/>
    <mergeCell ref="N6:O6"/>
    <mergeCell ref="P6:R6"/>
    <mergeCell ref="AW6:AW10"/>
    <mergeCell ref="U7:Z7"/>
    <mergeCell ref="AA7:AG7"/>
    <mergeCell ref="U8:Z8"/>
    <mergeCell ref="AA8:AG8"/>
    <mergeCell ref="U9:Z9"/>
    <mergeCell ref="AA9:AG9"/>
    <mergeCell ref="AJ7:AM7"/>
    <mergeCell ref="A1:AM1"/>
    <mergeCell ref="A3:F3"/>
    <mergeCell ref="AW3:AZ3"/>
    <mergeCell ref="A4:F4"/>
    <mergeCell ref="G4:O4"/>
    <mergeCell ref="P4:R4"/>
    <mergeCell ref="S4:AA4"/>
    <mergeCell ref="AB4:AD4"/>
    <mergeCell ref="AW4:AW5"/>
    <mergeCell ref="B5:I5"/>
    <mergeCell ref="J5:R5"/>
    <mergeCell ref="S5:T5"/>
    <mergeCell ref="U5:AA5"/>
    <mergeCell ref="AB5:AJ5"/>
  </mergeCells>
  <phoneticPr fontId="1"/>
  <conditionalFormatting sqref="A12:T27">
    <cfRule type="expression" dxfId="19" priority="13">
      <formula>WEEKDAY($A12:A27)=1</formula>
    </cfRule>
    <cfRule type="expression" dxfId="18" priority="14">
      <formula>WEEKDAY($A12:A27)=7</formula>
    </cfRule>
  </conditionalFormatting>
  <conditionalFormatting sqref="X13:Z14 U12:W14 U15:Z26 AA12:AO26">
    <cfRule type="expression" dxfId="17" priority="11">
      <formula>WEEKDAY($U12:U26)=1</formula>
    </cfRule>
    <cfRule type="expression" dxfId="16" priority="12">
      <formula>WEEKDAY($U12:U26)=7</formula>
    </cfRule>
  </conditionalFormatting>
  <conditionalFormatting sqref="X12:Z12">
    <cfRule type="expression" dxfId="15" priority="5">
      <formula>WEEKDAY($U12:X26)=1</formula>
    </cfRule>
    <cfRule type="expression" dxfId="14" priority="6">
      <formula>WEEKDAY($U12:X26)=7</formula>
    </cfRule>
  </conditionalFormatting>
  <conditionalFormatting sqref="G12:T27">
    <cfRule type="cellIs" dxfId="13" priority="2" operator="equal">
      <formula>0</formula>
    </cfRule>
  </conditionalFormatting>
  <conditionalFormatting sqref="AA12:AN26">
    <cfRule type="cellIs" dxfId="12" priority="1" operator="equal">
      <formula>0</formula>
    </cfRule>
  </conditionalFormatting>
  <dataValidations count="1">
    <dataValidation type="list" allowBlank="1" showInputMessage="1" showErrorMessage="1" sqref="R29:AN29" xr:uid="{D0F4C7AC-2EDE-4379-AB4D-3F50C66FF28C}">
      <formula1>$AP$34:$AP$37</formula1>
    </dataValidation>
  </dataValidations>
  <pageMargins left="0.9055118110236221" right="0.9055118110236221" top="0.98425196850393704" bottom="0.98425196850393704" header="0.31496062992125984" footer="0.31496062992125984"/>
  <pageSetup paperSize="9" orientation="portrait" r:id="rId1"/>
  <colBreaks count="1" manualBreakCount="1">
    <brk id="40" max="3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CCB48-CC0E-4536-920A-6F6F0E964B1F}">
  <sheetPr>
    <tabColor theme="7" tint="0.79998168889431442"/>
  </sheetPr>
  <dimension ref="A1:BJ40"/>
  <sheetViews>
    <sheetView view="pageBreakPreview" zoomScaleNormal="100" zoomScaleSheetLayoutView="100" workbookViewId="0">
      <selection activeCell="BH23" sqref="BH23"/>
    </sheetView>
  </sheetViews>
  <sheetFormatPr defaultRowHeight="13.5"/>
  <cols>
    <col min="1" max="41" width="1.875" style="91" customWidth="1"/>
    <col min="42" max="43" width="8.5" style="91" hidden="1" customWidth="1"/>
    <col min="44" max="46" width="35" style="91" hidden="1" customWidth="1"/>
    <col min="47" max="47" width="36.125" style="91" hidden="1" customWidth="1"/>
    <col min="48" max="50" width="5.5" style="91" hidden="1" customWidth="1"/>
    <col min="51" max="52" width="16.125" style="91" hidden="1" customWidth="1"/>
    <col min="53" max="53" width="5.625" style="91" hidden="1" customWidth="1"/>
    <col min="54" max="54" width="9" style="91" hidden="1" customWidth="1"/>
    <col min="55" max="55" width="13.875" style="91" hidden="1" customWidth="1"/>
    <col min="56" max="56" width="71.625" style="91" hidden="1" customWidth="1"/>
    <col min="57" max="57" width="9" style="91" hidden="1" customWidth="1"/>
    <col min="58" max="58" width="0" style="91" hidden="1" customWidth="1"/>
    <col min="59" max="59" width="9" style="91"/>
    <col min="60" max="60" width="3.5" style="91" bestFit="1" customWidth="1"/>
    <col min="61" max="61" width="13.875" style="91" bestFit="1" customWidth="1"/>
    <col min="62" max="62" width="71.625" style="91" bestFit="1" customWidth="1"/>
    <col min="63" max="16384" width="9" style="91"/>
  </cols>
  <sheetData>
    <row r="1" spans="1:62" ht="19.5" customHeight="1">
      <c r="A1" s="380" t="s">
        <v>254</v>
      </c>
      <c r="B1" s="380"/>
      <c r="C1" s="380"/>
      <c r="D1" s="380"/>
      <c r="E1" s="380"/>
      <c r="F1" s="380"/>
      <c r="G1" s="380"/>
      <c r="H1" s="380"/>
      <c r="I1" s="380"/>
      <c r="J1" s="380"/>
      <c r="K1" s="380"/>
      <c r="L1" s="380"/>
      <c r="M1" s="380"/>
      <c r="N1" s="380"/>
      <c r="O1" s="380"/>
      <c r="P1" s="380"/>
      <c r="Q1" s="380"/>
      <c r="R1" s="380"/>
      <c r="S1" s="380"/>
      <c r="T1" s="380"/>
      <c r="U1" s="380"/>
      <c r="V1" s="380"/>
      <c r="W1" s="380"/>
      <c r="X1" s="380"/>
      <c r="Y1" s="380"/>
      <c r="Z1" s="380"/>
      <c r="AA1" s="380"/>
      <c r="AB1" s="380"/>
      <c r="AC1" s="380"/>
      <c r="AD1" s="380"/>
      <c r="AE1" s="380"/>
      <c r="AF1" s="380"/>
      <c r="AG1" s="380"/>
      <c r="AH1" s="380"/>
      <c r="AI1" s="380"/>
      <c r="AJ1" s="380"/>
      <c r="AK1" s="380"/>
      <c r="AL1" s="380"/>
      <c r="AM1" s="380"/>
      <c r="AN1" s="233"/>
      <c r="AO1" s="94"/>
      <c r="AQ1" s="277" t="s">
        <v>316</v>
      </c>
    </row>
    <row r="2" spans="1:62" ht="19.5" customHeight="1">
      <c r="A2" s="234"/>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Q2" s="278" t="s">
        <v>311</v>
      </c>
    </row>
    <row r="3" spans="1:62" ht="19.5" customHeight="1">
      <c r="A3" s="381" t="s">
        <v>53</v>
      </c>
      <c r="B3" s="381"/>
      <c r="C3" s="381"/>
      <c r="D3" s="381"/>
      <c r="E3" s="381"/>
      <c r="F3" s="381"/>
      <c r="G3" s="235" t="str">
        <f>休日取得計画表兼実施報告書!E5</f>
        <v>〇〇舗装工事</v>
      </c>
      <c r="H3" s="235"/>
      <c r="I3" s="234"/>
      <c r="J3" s="234"/>
      <c r="K3" s="234"/>
      <c r="L3" s="234"/>
      <c r="M3" s="234"/>
      <c r="N3" s="234"/>
      <c r="O3" s="234"/>
      <c r="P3" s="234"/>
      <c r="Q3" s="234"/>
      <c r="R3" s="234"/>
      <c r="S3" s="234"/>
      <c r="T3" s="234"/>
      <c r="U3" s="234"/>
      <c r="V3" s="234"/>
      <c r="W3" s="234"/>
      <c r="X3" s="234"/>
      <c r="Y3" s="234"/>
      <c r="Z3" s="234"/>
      <c r="AA3" s="456" t="s">
        <v>54</v>
      </c>
      <c r="AB3" s="456"/>
      <c r="AC3" s="456"/>
      <c r="AD3" s="456"/>
      <c r="AE3" s="456"/>
      <c r="AF3" s="456"/>
      <c r="AG3" s="420" cm="1">
        <f t="array" aca="1" ref="AG3" ca="1">INDIRECT(AQ7)</f>
        <v>26</v>
      </c>
      <c r="AH3" s="420"/>
      <c r="AI3" s="420"/>
      <c r="AJ3" s="420"/>
      <c r="AK3" s="420"/>
      <c r="AL3" s="420"/>
      <c r="AM3" s="420"/>
      <c r="AN3" s="234"/>
      <c r="AQ3" s="278" t="s">
        <v>312</v>
      </c>
      <c r="BA3" s="452" t="s">
        <v>36</v>
      </c>
      <c r="BB3" s="382"/>
      <c r="BC3" s="382"/>
      <c r="BD3" s="383"/>
    </row>
    <row r="4" spans="1:62" ht="19.5" customHeight="1">
      <c r="A4" s="381" t="s">
        <v>141</v>
      </c>
      <c r="B4" s="381"/>
      <c r="C4" s="381"/>
      <c r="D4" s="381"/>
      <c r="E4" s="381"/>
      <c r="F4" s="381"/>
      <c r="G4" s="381" t="s">
        <v>142</v>
      </c>
      <c r="H4" s="381"/>
      <c r="I4" s="463">
        <v>1</v>
      </c>
      <c r="J4" s="463"/>
      <c r="K4" s="381" t="s">
        <v>143</v>
      </c>
      <c r="L4" s="381"/>
      <c r="M4" s="381"/>
      <c r="N4" s="236"/>
      <c r="O4" s="236"/>
      <c r="P4" s="235"/>
      <c r="Q4" s="235"/>
      <c r="R4" s="235"/>
      <c r="S4" s="237"/>
      <c r="T4" s="237"/>
      <c r="U4" s="237"/>
      <c r="V4" s="237"/>
      <c r="W4" s="237"/>
      <c r="X4" s="237"/>
      <c r="Y4" s="237"/>
      <c r="Z4" s="237"/>
      <c r="AA4" s="466" t="s">
        <v>56</v>
      </c>
      <c r="AB4" s="466"/>
      <c r="AC4" s="466"/>
      <c r="AD4" s="466"/>
      <c r="AE4" s="466"/>
      <c r="AF4" s="466"/>
      <c r="AG4" s="448">
        <f ca="1">COUNTIF(AI8:AN21,"休")+COUNTIF(O8:T21,"休")+COUNTIF(AI8:AN21,"代")+COUNTIF(O8:T21,"代")</f>
        <v>0</v>
      </c>
      <c r="AH4" s="420"/>
      <c r="AI4" s="420"/>
      <c r="AJ4" s="420"/>
      <c r="AK4" s="420"/>
      <c r="AL4" s="420"/>
      <c r="AM4" s="420"/>
      <c r="AN4" s="234"/>
      <c r="AQ4" s="278" t="s">
        <v>315</v>
      </c>
      <c r="BA4" s="388" t="s">
        <v>59</v>
      </c>
      <c r="BB4" s="106" t="s">
        <v>10</v>
      </c>
      <c r="BC4" s="106" t="s">
        <v>16</v>
      </c>
      <c r="BD4" s="96"/>
    </row>
    <row r="5" spans="1:62" ht="19.5" customHeight="1">
      <c r="A5" s="381" t="s">
        <v>250</v>
      </c>
      <c r="B5" s="381"/>
      <c r="C5" s="381"/>
      <c r="D5" s="381"/>
      <c r="E5" s="381"/>
      <c r="F5" s="381"/>
      <c r="G5" s="465" cm="1">
        <f t="array" aca="1" ref="G5" ca="1">INDIRECT(AQ6)</f>
        <v>45754</v>
      </c>
      <c r="H5" s="465"/>
      <c r="I5" s="465"/>
      <c r="J5" s="465"/>
      <c r="K5" s="465"/>
      <c r="L5" s="465"/>
      <c r="M5" s="465"/>
      <c r="N5" s="465"/>
      <c r="O5" s="465" t="s">
        <v>252</v>
      </c>
      <c r="P5" s="465"/>
      <c r="Q5" s="465" cm="1">
        <f t="array" aca="1" ref="Q5" ca="1">INDIRECT(AQ9)</f>
        <v>45781</v>
      </c>
      <c r="R5" s="465"/>
      <c r="S5" s="465"/>
      <c r="T5" s="465"/>
      <c r="U5" s="465"/>
      <c r="V5" s="465"/>
      <c r="W5" s="465"/>
      <c r="X5" s="465"/>
      <c r="Y5" s="235"/>
      <c r="Z5" s="235"/>
      <c r="AA5" s="467" t="s">
        <v>55</v>
      </c>
      <c r="AB5" s="467"/>
      <c r="AC5" s="467"/>
      <c r="AD5" s="467"/>
      <c r="AE5" s="467"/>
      <c r="AF5" s="467"/>
      <c r="AG5" s="459">
        <f ca="1">ROUNDDOWN(AG4/AG3,4)</f>
        <v>0</v>
      </c>
      <c r="AH5" s="459"/>
      <c r="AI5" s="459"/>
      <c r="AJ5" s="459"/>
      <c r="AK5" s="459"/>
      <c r="AL5" s="459"/>
      <c r="AM5" s="459"/>
      <c r="AN5" s="234"/>
      <c r="AQ5" s="279" t="s">
        <v>313</v>
      </c>
      <c r="BA5" s="388"/>
      <c r="BB5" s="106" t="s">
        <v>18</v>
      </c>
      <c r="BC5" s="106" t="s">
        <v>46</v>
      </c>
      <c r="BD5" s="96" t="s">
        <v>42</v>
      </c>
    </row>
    <row r="6" spans="1:62" ht="19.5" customHeight="1" thickBot="1">
      <c r="A6" s="234"/>
      <c r="B6" s="234"/>
      <c r="C6" s="234"/>
      <c r="D6" s="234"/>
      <c r="E6" s="234"/>
      <c r="F6" s="234"/>
      <c r="G6" s="234"/>
      <c r="H6" s="234"/>
      <c r="I6" s="234"/>
      <c r="J6" s="234"/>
      <c r="K6" s="234"/>
      <c r="L6" s="234"/>
      <c r="M6" s="234"/>
      <c r="N6" s="234"/>
      <c r="O6" s="234"/>
      <c r="P6" s="234"/>
      <c r="Q6" s="234"/>
      <c r="R6" s="234"/>
      <c r="S6" s="234"/>
      <c r="T6" s="234"/>
      <c r="U6" s="234"/>
      <c r="V6" s="234"/>
      <c r="W6" s="234"/>
      <c r="X6" s="234"/>
      <c r="Y6" s="234"/>
      <c r="Z6" s="234"/>
      <c r="AA6" s="234"/>
      <c r="AB6" s="234"/>
      <c r="AC6" s="234"/>
      <c r="AD6" s="234"/>
      <c r="AE6" s="234"/>
      <c r="AF6" s="234"/>
      <c r="AG6" s="234"/>
      <c r="AH6" s="234"/>
      <c r="AI6" s="234"/>
      <c r="AJ6" s="234"/>
      <c r="AK6" s="234"/>
      <c r="AL6" s="234"/>
      <c r="AM6" s="234"/>
      <c r="AN6" s="234"/>
      <c r="AP6" s="91" t="s">
        <v>225</v>
      </c>
      <c r="AQ6" s="232" t="str">
        <f>VLOOKUP(I4,AQ12:AR31,2,FALSE)</f>
        <v>休日取得計画表兼実施報告書!C13</v>
      </c>
      <c r="BA6" s="453" t="s">
        <v>58</v>
      </c>
      <c r="BB6" s="106" t="s">
        <v>31</v>
      </c>
      <c r="BC6" s="106" t="s">
        <v>44</v>
      </c>
      <c r="BD6" s="96"/>
    </row>
    <row r="7" spans="1:62" ht="19.5" customHeight="1" thickBot="1">
      <c r="A7" s="457" t="s">
        <v>247</v>
      </c>
      <c r="B7" s="458"/>
      <c r="C7" s="458"/>
      <c r="D7" s="458"/>
      <c r="E7" s="458"/>
      <c r="F7" s="458" t="s">
        <v>140</v>
      </c>
      <c r="G7" s="458"/>
      <c r="H7" s="458"/>
      <c r="I7" s="460" t="s">
        <v>248</v>
      </c>
      <c r="J7" s="460"/>
      <c r="K7" s="460"/>
      <c r="L7" s="460"/>
      <c r="M7" s="460"/>
      <c r="N7" s="460"/>
      <c r="O7" s="460" t="s">
        <v>249</v>
      </c>
      <c r="P7" s="460"/>
      <c r="Q7" s="460"/>
      <c r="R7" s="460"/>
      <c r="S7" s="460"/>
      <c r="T7" s="464"/>
      <c r="U7" s="457" t="s">
        <v>247</v>
      </c>
      <c r="V7" s="458"/>
      <c r="W7" s="458"/>
      <c r="X7" s="458"/>
      <c r="Y7" s="458"/>
      <c r="Z7" s="458" t="s">
        <v>140</v>
      </c>
      <c r="AA7" s="458"/>
      <c r="AB7" s="458"/>
      <c r="AC7" s="460" t="s">
        <v>248</v>
      </c>
      <c r="AD7" s="460"/>
      <c r="AE7" s="460"/>
      <c r="AF7" s="460"/>
      <c r="AG7" s="460"/>
      <c r="AH7" s="460"/>
      <c r="AI7" s="460" t="s">
        <v>249</v>
      </c>
      <c r="AJ7" s="460"/>
      <c r="AK7" s="460"/>
      <c r="AL7" s="460"/>
      <c r="AM7" s="460"/>
      <c r="AN7" s="461"/>
      <c r="AP7" s="91" t="s">
        <v>246</v>
      </c>
      <c r="AQ7" s="95" t="str">
        <f>VLOOKUP(I4,AQ12:AX31,6,FALSE)</f>
        <v>休日取得計画表兼実施報告書!AL15</v>
      </c>
      <c r="BA7" s="454"/>
      <c r="BB7" s="106" t="s">
        <v>39</v>
      </c>
      <c r="BC7" s="106" t="s">
        <v>47</v>
      </c>
      <c r="BD7" s="98" t="s">
        <v>48</v>
      </c>
    </row>
    <row r="8" spans="1:62" ht="19.5" customHeight="1">
      <c r="A8" s="457" cm="1">
        <f t="array" aca="1" ref="A8" ca="1">INDIRECT(AQ6)</f>
        <v>45754</v>
      </c>
      <c r="B8" s="458"/>
      <c r="C8" s="458"/>
      <c r="D8" s="458"/>
      <c r="E8" s="458"/>
      <c r="F8" s="458" t="str">
        <f ca="1">TEXT(A8,"aaa")</f>
        <v>月</v>
      </c>
      <c r="G8" s="458"/>
      <c r="H8" s="458"/>
      <c r="I8" s="460" t="str" cm="1">
        <f t="array" aca="1" ref="I8" ca="1">OFFSET(INDIRECT($AQ$6),4,0)</f>
        <v>準</v>
      </c>
      <c r="J8" s="460"/>
      <c r="K8" s="460"/>
      <c r="L8" s="460"/>
      <c r="M8" s="460"/>
      <c r="N8" s="460"/>
      <c r="O8" s="460" cm="1">
        <f t="array" aca="1" ref="O8" ca="1">OFFSET(INDIRECT($AQ$6),5,0)</f>
        <v>0</v>
      </c>
      <c r="P8" s="460"/>
      <c r="Q8" s="460"/>
      <c r="R8" s="460"/>
      <c r="S8" s="460"/>
      <c r="T8" s="464"/>
      <c r="U8" s="457">
        <f ca="1">A21+1</f>
        <v>45768</v>
      </c>
      <c r="V8" s="458"/>
      <c r="W8" s="458"/>
      <c r="X8" s="458"/>
      <c r="Y8" s="458"/>
      <c r="Z8" s="458" t="str">
        <f t="shared" ref="Z8:Z13" ca="1" si="0">TEXT(U8,"aaa")</f>
        <v>月</v>
      </c>
      <c r="AA8" s="458"/>
      <c r="AB8" s="458"/>
      <c r="AC8" s="460" t="str" cm="1">
        <f t="array" aca="1" ref="AC8" ca="1">OFFSET(INDIRECT($AQ$6),4,14)</f>
        <v/>
      </c>
      <c r="AD8" s="460"/>
      <c r="AE8" s="460"/>
      <c r="AF8" s="460"/>
      <c r="AG8" s="460"/>
      <c r="AH8" s="460"/>
      <c r="AI8" s="460" cm="1">
        <f t="array" aca="1" ref="AI8" ca="1">OFFSET(INDIRECT($AQ$6),5,14)</f>
        <v>0</v>
      </c>
      <c r="AJ8" s="460"/>
      <c r="AK8" s="460"/>
      <c r="AL8" s="460"/>
      <c r="AM8" s="460"/>
      <c r="AN8" s="461"/>
      <c r="AP8" s="91" t="s">
        <v>251</v>
      </c>
      <c r="AQ8" s="95" t="str">
        <f>VLOOKUP(I4,AQ12:AX31,5,FALSE)</f>
        <v>休日取得計画表兼実施報告書!AD13</v>
      </c>
      <c r="AR8" s="107"/>
      <c r="BA8" s="454"/>
      <c r="BB8" s="116" t="s">
        <v>33</v>
      </c>
      <c r="BC8" s="106" t="s">
        <v>49</v>
      </c>
      <c r="BD8" s="96" t="s">
        <v>50</v>
      </c>
      <c r="BG8" s="382" t="s">
        <v>36</v>
      </c>
      <c r="BH8" s="382"/>
      <c r="BI8" s="382"/>
      <c r="BJ8" s="383"/>
    </row>
    <row r="9" spans="1:62" ht="19.5" customHeight="1">
      <c r="A9" s="444">
        <f ca="1">A8+1</f>
        <v>45755</v>
      </c>
      <c r="B9" s="445"/>
      <c r="C9" s="445"/>
      <c r="D9" s="445"/>
      <c r="E9" s="445"/>
      <c r="F9" s="445" t="str">
        <f t="shared" ref="F9:F21" ca="1" si="1">TEXT(A9,"aaa")</f>
        <v>火</v>
      </c>
      <c r="G9" s="445"/>
      <c r="H9" s="445"/>
      <c r="I9" s="448" t="str" cm="1">
        <f t="array" aca="1" ref="I9" ca="1">OFFSET(INDIRECT($AQ$6),4,1)</f>
        <v/>
      </c>
      <c r="J9" s="448"/>
      <c r="K9" s="448"/>
      <c r="L9" s="448"/>
      <c r="M9" s="448"/>
      <c r="N9" s="448"/>
      <c r="O9" s="448" cm="1">
        <f t="array" aca="1" ref="O9" ca="1">OFFSET(INDIRECT($AQ$6),5,1)</f>
        <v>0</v>
      </c>
      <c r="P9" s="448"/>
      <c r="Q9" s="448"/>
      <c r="R9" s="448"/>
      <c r="S9" s="448"/>
      <c r="T9" s="449"/>
      <c r="U9" s="444">
        <f ca="1">U8+1</f>
        <v>45769</v>
      </c>
      <c r="V9" s="445"/>
      <c r="W9" s="445"/>
      <c r="X9" s="445"/>
      <c r="Y9" s="445"/>
      <c r="Z9" s="445" t="str">
        <f t="shared" ca="1" si="0"/>
        <v>火</v>
      </c>
      <c r="AA9" s="445"/>
      <c r="AB9" s="445"/>
      <c r="AC9" s="448" t="str" cm="1">
        <f t="array" aca="1" ref="AC9" ca="1">OFFSET(INDIRECT($AQ$6),4,15)</f>
        <v/>
      </c>
      <c r="AD9" s="448"/>
      <c r="AE9" s="448"/>
      <c r="AF9" s="448"/>
      <c r="AG9" s="448"/>
      <c r="AH9" s="448"/>
      <c r="AI9" s="448" cm="1">
        <f t="array" aca="1" ref="AI9" ca="1">OFFSET(INDIRECT($AQ$6),5,15)</f>
        <v>0</v>
      </c>
      <c r="AJ9" s="448"/>
      <c r="AK9" s="448"/>
      <c r="AL9" s="448"/>
      <c r="AM9" s="448"/>
      <c r="AN9" s="462"/>
      <c r="AP9" s="91" t="s">
        <v>317</v>
      </c>
      <c r="AQ9" s="95" t="str">
        <f>VLOOKUP(I4,AQ12:AX31,7,FALSE)</f>
        <v>休日取得計画表兼実施報告書!AK13</v>
      </c>
      <c r="BA9" s="454"/>
      <c r="BB9" s="106" t="s">
        <v>35</v>
      </c>
      <c r="BC9" s="106" t="s">
        <v>52</v>
      </c>
      <c r="BD9" s="96" t="s">
        <v>45</v>
      </c>
      <c r="BG9" s="387" t="s">
        <v>37</v>
      </c>
      <c r="BH9" s="254" t="s">
        <v>10</v>
      </c>
      <c r="BI9" s="254" t="s">
        <v>16</v>
      </c>
      <c r="BJ9" s="96"/>
    </row>
    <row r="10" spans="1:62" ht="19.5" customHeight="1">
      <c r="A10" s="444">
        <f t="shared" ref="A10:A21" ca="1" si="2">A9+1</f>
        <v>45756</v>
      </c>
      <c r="B10" s="445"/>
      <c r="C10" s="445"/>
      <c r="D10" s="445"/>
      <c r="E10" s="445"/>
      <c r="F10" s="445" t="str">
        <f t="shared" ca="1" si="1"/>
        <v>水</v>
      </c>
      <c r="G10" s="445"/>
      <c r="H10" s="445"/>
      <c r="I10" s="448" cm="1">
        <f t="array" aca="1" ref="I10" ca="1">OFFSET(INDIRECT($AQ$6),4,2)</f>
        <v>0</v>
      </c>
      <c r="J10" s="448"/>
      <c r="K10" s="448"/>
      <c r="L10" s="448"/>
      <c r="M10" s="448"/>
      <c r="N10" s="448"/>
      <c r="O10" s="448" cm="1">
        <f t="array" aca="1" ref="O10" ca="1">OFFSET(INDIRECT($AQ$6),5,2)</f>
        <v>0</v>
      </c>
      <c r="P10" s="448"/>
      <c r="Q10" s="448"/>
      <c r="R10" s="448"/>
      <c r="S10" s="448"/>
      <c r="T10" s="449"/>
      <c r="U10" s="444">
        <f t="shared" ref="U10:U20" ca="1" si="3">U9+1</f>
        <v>45770</v>
      </c>
      <c r="V10" s="445"/>
      <c r="W10" s="445"/>
      <c r="X10" s="445"/>
      <c r="Y10" s="445"/>
      <c r="Z10" s="445" t="str">
        <f t="shared" ca="1" si="0"/>
        <v>水</v>
      </c>
      <c r="AA10" s="445"/>
      <c r="AB10" s="445"/>
      <c r="AC10" s="448" cm="1">
        <f t="array" aca="1" ref="AC10" ca="1">OFFSET(INDIRECT($AQ$6),4,16)</f>
        <v>0</v>
      </c>
      <c r="AD10" s="448"/>
      <c r="AE10" s="448"/>
      <c r="AF10" s="448"/>
      <c r="AG10" s="448"/>
      <c r="AH10" s="448"/>
      <c r="AI10" s="448" cm="1">
        <f t="array" aca="1" ref="AI10" ca="1">OFFSET(INDIRECT($AQ$6),5,16)</f>
        <v>0</v>
      </c>
      <c r="AJ10" s="448"/>
      <c r="AK10" s="448"/>
      <c r="AL10" s="448"/>
      <c r="AM10" s="448"/>
      <c r="AN10" s="462"/>
      <c r="BA10" s="455"/>
      <c r="BB10" s="106" t="s">
        <v>17</v>
      </c>
      <c r="BC10" s="106" t="s">
        <v>51</v>
      </c>
      <c r="BD10" s="96"/>
      <c r="BG10" s="388"/>
      <c r="BH10" s="254" t="s">
        <v>18</v>
      </c>
      <c r="BI10" s="254" t="s">
        <v>46</v>
      </c>
      <c r="BJ10" s="96" t="s">
        <v>42</v>
      </c>
    </row>
    <row r="11" spans="1:62" ht="19.5" customHeight="1">
      <c r="A11" s="444">
        <f t="shared" ca="1" si="2"/>
        <v>45757</v>
      </c>
      <c r="B11" s="445"/>
      <c r="C11" s="445"/>
      <c r="D11" s="445"/>
      <c r="E11" s="445"/>
      <c r="F11" s="445" t="str">
        <f t="shared" ca="1" si="1"/>
        <v>木</v>
      </c>
      <c r="G11" s="445"/>
      <c r="H11" s="445"/>
      <c r="I11" s="448" cm="1">
        <f t="array" aca="1" ref="I11" ca="1">OFFSET(INDIRECT($AQ$6),4,3)</f>
        <v>0</v>
      </c>
      <c r="J11" s="448"/>
      <c r="K11" s="448"/>
      <c r="L11" s="448"/>
      <c r="M11" s="448"/>
      <c r="N11" s="448"/>
      <c r="O11" s="448" cm="1">
        <f t="array" aca="1" ref="O11" ca="1">OFFSET(INDIRECT($AQ$6),5,3)</f>
        <v>0</v>
      </c>
      <c r="P11" s="448"/>
      <c r="Q11" s="448"/>
      <c r="R11" s="448"/>
      <c r="S11" s="448"/>
      <c r="T11" s="449"/>
      <c r="U11" s="444">
        <f t="shared" ca="1" si="3"/>
        <v>45771</v>
      </c>
      <c r="V11" s="445"/>
      <c r="W11" s="445"/>
      <c r="X11" s="445"/>
      <c r="Y11" s="445"/>
      <c r="Z11" s="445" t="str">
        <f t="shared" ca="1" si="0"/>
        <v>木</v>
      </c>
      <c r="AA11" s="445"/>
      <c r="AB11" s="445"/>
      <c r="AC11" s="448" cm="1">
        <f t="array" aca="1" ref="AC11" ca="1">OFFSET(INDIRECT($AQ$6),4,17)</f>
        <v>0</v>
      </c>
      <c r="AD11" s="448"/>
      <c r="AE11" s="448"/>
      <c r="AF11" s="448"/>
      <c r="AG11" s="448"/>
      <c r="AH11" s="448"/>
      <c r="AI11" s="448" cm="1">
        <f t="array" aca="1" ref="AI11" ca="1">OFFSET(INDIRECT($AQ$6),5,17)</f>
        <v>0</v>
      </c>
      <c r="AJ11" s="448"/>
      <c r="AK11" s="448"/>
      <c r="AL11" s="448"/>
      <c r="AM11" s="448"/>
      <c r="AN11" s="462"/>
      <c r="AO11" s="97"/>
      <c r="AP11" s="115"/>
      <c r="AQ11" s="227"/>
      <c r="AR11" s="228" t="s">
        <v>164</v>
      </c>
      <c r="AS11" s="229"/>
      <c r="AT11" s="227"/>
      <c r="AU11" s="227"/>
      <c r="AV11" s="227"/>
      <c r="AW11" s="227"/>
      <c r="AX11" s="227"/>
      <c r="BG11" s="391" t="s">
        <v>58</v>
      </c>
      <c r="BH11" s="254" t="s">
        <v>31</v>
      </c>
      <c r="BI11" s="254" t="s">
        <v>44</v>
      </c>
      <c r="BJ11" s="96" t="s">
        <v>309</v>
      </c>
    </row>
    <row r="12" spans="1:62" ht="19.5" customHeight="1">
      <c r="A12" s="444">
        <f t="shared" ca="1" si="2"/>
        <v>45758</v>
      </c>
      <c r="B12" s="445"/>
      <c r="C12" s="445"/>
      <c r="D12" s="445"/>
      <c r="E12" s="445"/>
      <c r="F12" s="445" t="str">
        <f t="shared" ca="1" si="1"/>
        <v>金</v>
      </c>
      <c r="G12" s="445"/>
      <c r="H12" s="445"/>
      <c r="I12" s="448" cm="1">
        <f t="array" aca="1" ref="I12" ca="1">OFFSET(INDIRECT($AQ$6),4,4)</f>
        <v>0</v>
      </c>
      <c r="J12" s="448"/>
      <c r="K12" s="448"/>
      <c r="L12" s="448"/>
      <c r="M12" s="448"/>
      <c r="N12" s="448"/>
      <c r="O12" s="448" cm="1">
        <f t="array" aca="1" ref="O12" ca="1">OFFSET(INDIRECT($AQ$6),5,4)</f>
        <v>0</v>
      </c>
      <c r="P12" s="448"/>
      <c r="Q12" s="448"/>
      <c r="R12" s="448"/>
      <c r="S12" s="448"/>
      <c r="T12" s="449"/>
      <c r="U12" s="444">
        <f t="shared" ca="1" si="3"/>
        <v>45772</v>
      </c>
      <c r="V12" s="445"/>
      <c r="W12" s="445"/>
      <c r="X12" s="445"/>
      <c r="Y12" s="445"/>
      <c r="Z12" s="445" t="str">
        <f t="shared" ca="1" si="0"/>
        <v>金</v>
      </c>
      <c r="AA12" s="445"/>
      <c r="AB12" s="445"/>
      <c r="AC12" s="448" cm="1">
        <f t="array" aca="1" ref="AC12" ca="1">OFFSET(INDIRECT($AQ$6),4,18)</f>
        <v>0</v>
      </c>
      <c r="AD12" s="448"/>
      <c r="AE12" s="448"/>
      <c r="AF12" s="448"/>
      <c r="AG12" s="448"/>
      <c r="AH12" s="448"/>
      <c r="AI12" s="448" cm="1">
        <f t="array" aca="1" ref="AI12" ca="1">OFFSET(INDIRECT($AQ$6),5,18)</f>
        <v>0</v>
      </c>
      <c r="AJ12" s="448"/>
      <c r="AK12" s="448"/>
      <c r="AL12" s="448"/>
      <c r="AM12" s="448"/>
      <c r="AN12" s="462"/>
      <c r="AO12" s="93"/>
      <c r="AP12" s="115"/>
      <c r="AQ12" s="228">
        <v>1</v>
      </c>
      <c r="AR12" s="230" t="s">
        <v>144</v>
      </c>
      <c r="AS12" s="91" t="s">
        <v>188</v>
      </c>
      <c r="AT12" s="91" t="s">
        <v>187</v>
      </c>
      <c r="AU12" s="229" t="s">
        <v>167</v>
      </c>
      <c r="AV12" s="228" t="s">
        <v>226</v>
      </c>
      <c r="AW12" s="275" t="s">
        <v>319</v>
      </c>
      <c r="AX12" s="228"/>
      <c r="BG12" s="388"/>
      <c r="BH12" s="254" t="s">
        <v>39</v>
      </c>
      <c r="BI12" s="254" t="s">
        <v>47</v>
      </c>
      <c r="BJ12" s="96" t="s">
        <v>308</v>
      </c>
    </row>
    <row r="13" spans="1:62" ht="19.5" customHeight="1">
      <c r="A13" s="444">
        <f t="shared" ca="1" si="2"/>
        <v>45759</v>
      </c>
      <c r="B13" s="445"/>
      <c r="C13" s="445"/>
      <c r="D13" s="445"/>
      <c r="E13" s="445"/>
      <c r="F13" s="445" t="str">
        <f t="shared" ca="1" si="1"/>
        <v>土</v>
      </c>
      <c r="G13" s="445"/>
      <c r="H13" s="445"/>
      <c r="I13" s="448" t="str" cm="1">
        <f t="array" aca="1" ref="I13" ca="1">OFFSET(INDIRECT($AQ$6),4,5)</f>
        <v>休</v>
      </c>
      <c r="J13" s="448"/>
      <c r="K13" s="448"/>
      <c r="L13" s="448"/>
      <c r="M13" s="448"/>
      <c r="N13" s="448"/>
      <c r="O13" s="448" cm="1">
        <f t="array" aca="1" ref="O13" ca="1">OFFSET(INDIRECT($AQ$6),5,5)</f>
        <v>0</v>
      </c>
      <c r="P13" s="448"/>
      <c r="Q13" s="448"/>
      <c r="R13" s="448"/>
      <c r="S13" s="448"/>
      <c r="T13" s="449"/>
      <c r="U13" s="444">
        <f t="shared" ca="1" si="3"/>
        <v>45773</v>
      </c>
      <c r="V13" s="445"/>
      <c r="W13" s="445"/>
      <c r="X13" s="445"/>
      <c r="Y13" s="445"/>
      <c r="Z13" s="445" t="str">
        <f t="shared" ca="1" si="0"/>
        <v>土</v>
      </c>
      <c r="AA13" s="445"/>
      <c r="AB13" s="445"/>
      <c r="AC13" s="448" t="str" cm="1">
        <f t="array" aca="1" ref="AC13" ca="1">OFFSET(INDIRECT($AQ$6),4,19)</f>
        <v>休</v>
      </c>
      <c r="AD13" s="448"/>
      <c r="AE13" s="448"/>
      <c r="AF13" s="448"/>
      <c r="AG13" s="448"/>
      <c r="AH13" s="448"/>
      <c r="AI13" s="448" cm="1">
        <f t="array" aca="1" ref="AI13" ca="1">OFFSET(INDIRECT($AQ$6),5,19)</f>
        <v>0</v>
      </c>
      <c r="AJ13" s="448"/>
      <c r="AK13" s="448"/>
      <c r="AL13" s="448"/>
      <c r="AM13" s="448"/>
      <c r="AN13" s="462"/>
      <c r="AO13" s="93"/>
      <c r="AP13" s="115"/>
      <c r="AQ13" s="228">
        <v>2</v>
      </c>
      <c r="AR13" s="230" t="s">
        <v>145</v>
      </c>
      <c r="AS13" s="91" t="s">
        <v>190</v>
      </c>
      <c r="AT13" s="91" t="s">
        <v>189</v>
      </c>
      <c r="AU13" s="229" t="s">
        <v>171</v>
      </c>
      <c r="AV13" s="228" t="s">
        <v>228</v>
      </c>
      <c r="AW13" s="275" t="s">
        <v>318</v>
      </c>
      <c r="AX13" s="228"/>
      <c r="BG13" s="388"/>
      <c r="BH13" s="116" t="s">
        <v>33</v>
      </c>
      <c r="BI13" s="254" t="s">
        <v>49</v>
      </c>
      <c r="BJ13" s="96" t="s">
        <v>50</v>
      </c>
    </row>
    <row r="14" spans="1:62" ht="19.5" customHeight="1">
      <c r="A14" s="444">
        <f t="shared" ca="1" si="2"/>
        <v>45760</v>
      </c>
      <c r="B14" s="445"/>
      <c r="C14" s="445"/>
      <c r="D14" s="445"/>
      <c r="E14" s="445"/>
      <c r="F14" s="445" t="str">
        <f t="shared" ca="1" si="1"/>
        <v>日</v>
      </c>
      <c r="G14" s="445"/>
      <c r="H14" s="445"/>
      <c r="I14" s="448" t="str" cm="1">
        <f t="array" aca="1" ref="I14" ca="1">OFFSET(INDIRECT($AQ$6),4,6)</f>
        <v>休</v>
      </c>
      <c r="J14" s="448"/>
      <c r="K14" s="448"/>
      <c r="L14" s="448"/>
      <c r="M14" s="448"/>
      <c r="N14" s="448"/>
      <c r="O14" s="448" cm="1">
        <f t="array" aca="1" ref="O14" ca="1">OFFSET(INDIRECT($AQ$6),5,6)</f>
        <v>0</v>
      </c>
      <c r="P14" s="448"/>
      <c r="Q14" s="448"/>
      <c r="R14" s="448"/>
      <c r="S14" s="448"/>
      <c r="T14" s="449"/>
      <c r="U14" s="444">
        <f t="shared" ca="1" si="3"/>
        <v>45774</v>
      </c>
      <c r="V14" s="445"/>
      <c r="W14" s="445"/>
      <c r="X14" s="445"/>
      <c r="Y14" s="445"/>
      <c r="Z14" s="445" t="str">
        <f t="shared" ref="Z14:Z21" ca="1" si="4">TEXT(U14,"aaa")</f>
        <v>日</v>
      </c>
      <c r="AA14" s="445"/>
      <c r="AB14" s="445"/>
      <c r="AC14" s="448" t="str" cm="1">
        <f t="array" aca="1" ref="AC14" ca="1">OFFSET(INDIRECT($AQ$6),4,20)</f>
        <v>休</v>
      </c>
      <c r="AD14" s="448"/>
      <c r="AE14" s="448"/>
      <c r="AF14" s="448"/>
      <c r="AG14" s="448"/>
      <c r="AH14" s="448"/>
      <c r="AI14" s="448" cm="1">
        <f t="array" aca="1" ref="AI14" ca="1">OFFSET(INDIRECT($AQ$6),5,20)</f>
        <v>0</v>
      </c>
      <c r="AJ14" s="448"/>
      <c r="AK14" s="448"/>
      <c r="AL14" s="448"/>
      <c r="AM14" s="448"/>
      <c r="AN14" s="462"/>
      <c r="AO14" s="93"/>
      <c r="AP14" s="115"/>
      <c r="AQ14" s="228">
        <v>3</v>
      </c>
      <c r="AR14" s="230" t="s">
        <v>146</v>
      </c>
      <c r="AS14" s="91" t="s">
        <v>165</v>
      </c>
      <c r="AT14" s="91" t="s">
        <v>166</v>
      </c>
      <c r="AU14" s="229" t="s">
        <v>176</v>
      </c>
      <c r="AV14" s="228" t="s">
        <v>227</v>
      </c>
      <c r="AW14" s="275" t="s">
        <v>320</v>
      </c>
      <c r="AX14" s="228"/>
      <c r="BG14" s="388"/>
      <c r="BH14" s="254" t="s">
        <v>35</v>
      </c>
      <c r="BI14" s="254" t="s">
        <v>52</v>
      </c>
      <c r="BJ14" s="96" t="s">
        <v>45</v>
      </c>
    </row>
    <row r="15" spans="1:62" ht="19.5" customHeight="1">
      <c r="A15" s="444">
        <f t="shared" ca="1" si="2"/>
        <v>45761</v>
      </c>
      <c r="B15" s="445"/>
      <c r="C15" s="445"/>
      <c r="D15" s="445"/>
      <c r="E15" s="445"/>
      <c r="F15" s="445" t="str">
        <f t="shared" ca="1" si="1"/>
        <v>月</v>
      </c>
      <c r="G15" s="445"/>
      <c r="H15" s="445"/>
      <c r="I15" s="448" t="str" cm="1">
        <f t="array" aca="1" ref="I15" ca="1">OFFSET(INDIRECT($AQ$6),4,7)</f>
        <v/>
      </c>
      <c r="J15" s="448"/>
      <c r="K15" s="448"/>
      <c r="L15" s="448"/>
      <c r="M15" s="448"/>
      <c r="N15" s="448"/>
      <c r="O15" s="448" cm="1">
        <f t="array" aca="1" ref="O15" ca="1">OFFSET(INDIRECT($AQ$6),5,7)</f>
        <v>0</v>
      </c>
      <c r="P15" s="448"/>
      <c r="Q15" s="448"/>
      <c r="R15" s="448"/>
      <c r="S15" s="448"/>
      <c r="T15" s="449"/>
      <c r="U15" s="444">
        <f t="shared" ca="1" si="3"/>
        <v>45775</v>
      </c>
      <c r="V15" s="445"/>
      <c r="W15" s="445"/>
      <c r="X15" s="445"/>
      <c r="Y15" s="445"/>
      <c r="Z15" s="445" t="str">
        <f t="shared" ca="1" si="4"/>
        <v>月</v>
      </c>
      <c r="AA15" s="445"/>
      <c r="AB15" s="445"/>
      <c r="AC15" s="448" t="str" cm="1">
        <f t="array" aca="1" ref="AC15" ca="1">OFFSET(INDIRECT($AQ$6),4,21)</f>
        <v/>
      </c>
      <c r="AD15" s="448"/>
      <c r="AE15" s="448"/>
      <c r="AF15" s="448"/>
      <c r="AG15" s="448"/>
      <c r="AH15" s="448"/>
      <c r="AI15" s="448" cm="1">
        <f t="array" aca="1" ref="AI15" ca="1">OFFSET(INDIRECT($AQ$6),5,21)</f>
        <v>0</v>
      </c>
      <c r="AJ15" s="448"/>
      <c r="AK15" s="448"/>
      <c r="AL15" s="448"/>
      <c r="AM15" s="448"/>
      <c r="AN15" s="462"/>
      <c r="AO15" s="93"/>
      <c r="AP15" s="115"/>
      <c r="AQ15" s="228">
        <v>4</v>
      </c>
      <c r="AR15" s="230" t="s">
        <v>147</v>
      </c>
      <c r="AS15" s="91" t="s">
        <v>191</v>
      </c>
      <c r="AT15" s="91" t="s">
        <v>192</v>
      </c>
      <c r="AU15" s="229" t="s">
        <v>177</v>
      </c>
      <c r="AV15" s="228" t="s">
        <v>232</v>
      </c>
      <c r="AW15" s="275" t="s">
        <v>321</v>
      </c>
      <c r="AX15" s="228"/>
      <c r="BG15" s="388"/>
      <c r="BH15" s="254" t="s">
        <v>17</v>
      </c>
      <c r="BI15" s="254" t="s">
        <v>51</v>
      </c>
      <c r="BJ15" s="96" t="s">
        <v>310</v>
      </c>
    </row>
    <row r="16" spans="1:62" ht="19.5" customHeight="1">
      <c r="A16" s="444">
        <f t="shared" ca="1" si="2"/>
        <v>45762</v>
      </c>
      <c r="B16" s="445"/>
      <c r="C16" s="445"/>
      <c r="D16" s="445"/>
      <c r="E16" s="445"/>
      <c r="F16" s="445" t="str">
        <f t="shared" ca="1" si="1"/>
        <v>火</v>
      </c>
      <c r="G16" s="445"/>
      <c r="H16" s="445"/>
      <c r="I16" s="448" t="str" cm="1">
        <f t="array" aca="1" ref="I16" ca="1">OFFSET(INDIRECT($AQ$6),4,8)</f>
        <v/>
      </c>
      <c r="J16" s="448"/>
      <c r="K16" s="448"/>
      <c r="L16" s="448"/>
      <c r="M16" s="448"/>
      <c r="N16" s="448"/>
      <c r="O16" s="448" cm="1">
        <f t="array" aca="1" ref="O16" ca="1">OFFSET(INDIRECT($AQ$6),5,8)</f>
        <v>0</v>
      </c>
      <c r="P16" s="448"/>
      <c r="Q16" s="448"/>
      <c r="R16" s="448"/>
      <c r="S16" s="448"/>
      <c r="T16" s="449"/>
      <c r="U16" s="444">
        <f t="shared" ca="1" si="3"/>
        <v>45776</v>
      </c>
      <c r="V16" s="445"/>
      <c r="W16" s="445"/>
      <c r="X16" s="445"/>
      <c r="Y16" s="445"/>
      <c r="Z16" s="445" t="str">
        <f t="shared" ca="1" si="4"/>
        <v>火</v>
      </c>
      <c r="AA16" s="445"/>
      <c r="AB16" s="445"/>
      <c r="AC16" s="448" t="str" cm="1">
        <f t="array" aca="1" ref="AC16" ca="1">OFFSET(INDIRECT($AQ$6),4,22)</f>
        <v>休</v>
      </c>
      <c r="AD16" s="448"/>
      <c r="AE16" s="448"/>
      <c r="AF16" s="448"/>
      <c r="AG16" s="448"/>
      <c r="AH16" s="448"/>
      <c r="AI16" s="448" cm="1">
        <f t="array" aca="1" ref="AI16" ca="1">OFFSET(INDIRECT($AQ$6),5,22)</f>
        <v>0</v>
      </c>
      <c r="AJ16" s="448"/>
      <c r="AK16" s="448"/>
      <c r="AL16" s="448"/>
      <c r="AM16" s="448"/>
      <c r="AN16" s="462"/>
      <c r="AO16" s="93"/>
      <c r="AP16" s="115"/>
      <c r="AQ16" s="228">
        <v>5</v>
      </c>
      <c r="AR16" s="230" t="s">
        <v>148</v>
      </c>
      <c r="AS16" s="91" t="s">
        <v>193</v>
      </c>
      <c r="AT16" s="91" t="s">
        <v>194</v>
      </c>
      <c r="AU16" s="229" t="s">
        <v>178</v>
      </c>
      <c r="AV16" s="228" t="s">
        <v>233</v>
      </c>
      <c r="AW16" s="275" t="s">
        <v>322</v>
      </c>
      <c r="AX16" s="228"/>
    </row>
    <row r="17" spans="1:59" ht="19.5" customHeight="1">
      <c r="A17" s="444">
        <f t="shared" ca="1" si="2"/>
        <v>45763</v>
      </c>
      <c r="B17" s="445"/>
      <c r="C17" s="445"/>
      <c r="D17" s="445"/>
      <c r="E17" s="445"/>
      <c r="F17" s="445" t="str">
        <f t="shared" ca="1" si="1"/>
        <v>水</v>
      </c>
      <c r="G17" s="445"/>
      <c r="H17" s="445"/>
      <c r="I17" s="448" cm="1">
        <f t="array" aca="1" ref="I17" ca="1">OFFSET(INDIRECT($AQ$6),4,9)</f>
        <v>0</v>
      </c>
      <c r="J17" s="448"/>
      <c r="K17" s="448"/>
      <c r="L17" s="448"/>
      <c r="M17" s="448"/>
      <c r="N17" s="448"/>
      <c r="O17" s="448" cm="1">
        <f t="array" aca="1" ref="O17" ca="1">OFFSET(INDIRECT($AQ$6),5,9)</f>
        <v>0</v>
      </c>
      <c r="P17" s="448"/>
      <c r="Q17" s="448"/>
      <c r="R17" s="448"/>
      <c r="S17" s="448"/>
      <c r="T17" s="449"/>
      <c r="U17" s="444">
        <f t="shared" ca="1" si="3"/>
        <v>45777</v>
      </c>
      <c r="V17" s="445"/>
      <c r="W17" s="445"/>
      <c r="X17" s="445"/>
      <c r="Y17" s="445"/>
      <c r="Z17" s="445" t="str">
        <f t="shared" ca="1" si="4"/>
        <v>水</v>
      </c>
      <c r="AA17" s="445"/>
      <c r="AB17" s="445"/>
      <c r="AC17" s="448" cm="1">
        <f t="array" aca="1" ref="AC17" ca="1">OFFSET(INDIRECT($AQ$6),4,23)</f>
        <v>0</v>
      </c>
      <c r="AD17" s="448"/>
      <c r="AE17" s="448"/>
      <c r="AF17" s="448"/>
      <c r="AG17" s="448"/>
      <c r="AH17" s="448"/>
      <c r="AI17" s="448" cm="1">
        <f t="array" aca="1" ref="AI17" ca="1">OFFSET(INDIRECT($AQ$6),5,23)</f>
        <v>0</v>
      </c>
      <c r="AJ17" s="448"/>
      <c r="AK17" s="448"/>
      <c r="AL17" s="448"/>
      <c r="AM17" s="448"/>
      <c r="AN17" s="462"/>
      <c r="AO17" s="93"/>
      <c r="AP17" s="115"/>
      <c r="AQ17" s="228">
        <v>6</v>
      </c>
      <c r="AR17" s="230" t="s">
        <v>149</v>
      </c>
      <c r="AS17" s="91" t="s">
        <v>195</v>
      </c>
      <c r="AT17" s="91" t="s">
        <v>196</v>
      </c>
      <c r="AU17" s="229" t="s">
        <v>168</v>
      </c>
      <c r="AV17" s="228" t="s">
        <v>234</v>
      </c>
      <c r="AW17" s="275" t="s">
        <v>323</v>
      </c>
      <c r="AX17" s="228"/>
    </row>
    <row r="18" spans="1:59" ht="19.5" customHeight="1">
      <c r="A18" s="444">
        <f t="shared" ca="1" si="2"/>
        <v>45764</v>
      </c>
      <c r="B18" s="445"/>
      <c r="C18" s="445"/>
      <c r="D18" s="445"/>
      <c r="E18" s="445"/>
      <c r="F18" s="445" t="str">
        <f t="shared" ca="1" si="1"/>
        <v>木</v>
      </c>
      <c r="G18" s="445"/>
      <c r="H18" s="445"/>
      <c r="I18" s="448" cm="1">
        <f t="array" aca="1" ref="I18" ca="1">OFFSET(INDIRECT($AQ$6),4,10)</f>
        <v>0</v>
      </c>
      <c r="J18" s="448"/>
      <c r="K18" s="448"/>
      <c r="L18" s="448"/>
      <c r="M18" s="448"/>
      <c r="N18" s="448"/>
      <c r="O18" s="448" cm="1">
        <f t="array" aca="1" ref="O18" ca="1">OFFSET(INDIRECT($AQ$6),5,10)</f>
        <v>0</v>
      </c>
      <c r="P18" s="448"/>
      <c r="Q18" s="448"/>
      <c r="R18" s="448"/>
      <c r="S18" s="448"/>
      <c r="T18" s="449"/>
      <c r="U18" s="444">
        <f t="shared" ca="1" si="3"/>
        <v>45778</v>
      </c>
      <c r="V18" s="445"/>
      <c r="W18" s="445"/>
      <c r="X18" s="445"/>
      <c r="Y18" s="445"/>
      <c r="Z18" s="445" t="str">
        <f t="shared" ca="1" si="4"/>
        <v>木</v>
      </c>
      <c r="AA18" s="445"/>
      <c r="AB18" s="445"/>
      <c r="AC18" s="448" cm="1">
        <f t="array" aca="1" ref="AC18" ca="1">OFFSET(INDIRECT($AQ$6),4,24)</f>
        <v>0</v>
      </c>
      <c r="AD18" s="448"/>
      <c r="AE18" s="448"/>
      <c r="AF18" s="448"/>
      <c r="AG18" s="448"/>
      <c r="AH18" s="448"/>
      <c r="AI18" s="448" cm="1">
        <f t="array" aca="1" ref="AI18" ca="1">OFFSET(INDIRECT($AQ$6),5,24)</f>
        <v>0</v>
      </c>
      <c r="AJ18" s="448"/>
      <c r="AK18" s="448"/>
      <c r="AL18" s="448"/>
      <c r="AM18" s="448"/>
      <c r="AN18" s="462"/>
      <c r="AO18" s="93"/>
      <c r="AP18" s="115"/>
      <c r="AQ18" s="228">
        <v>7</v>
      </c>
      <c r="AR18" s="230" t="s">
        <v>150</v>
      </c>
      <c r="AS18" s="91" t="s">
        <v>197</v>
      </c>
      <c r="AT18" s="91" t="s">
        <v>198</v>
      </c>
      <c r="AU18" s="229" t="s">
        <v>179</v>
      </c>
      <c r="AV18" s="228" t="s">
        <v>229</v>
      </c>
      <c r="AW18" s="275" t="s">
        <v>324</v>
      </c>
      <c r="AX18" s="228"/>
    </row>
    <row r="19" spans="1:59" ht="19.5" customHeight="1">
      <c r="A19" s="444">
        <f t="shared" ca="1" si="2"/>
        <v>45765</v>
      </c>
      <c r="B19" s="445"/>
      <c r="C19" s="445"/>
      <c r="D19" s="445"/>
      <c r="E19" s="445"/>
      <c r="F19" s="445" t="str">
        <f t="shared" ca="1" si="1"/>
        <v>金</v>
      </c>
      <c r="G19" s="445"/>
      <c r="H19" s="445"/>
      <c r="I19" s="448" cm="1">
        <f t="array" aca="1" ref="I19" ca="1">OFFSET(INDIRECT($AQ$6),4,11)</f>
        <v>0</v>
      </c>
      <c r="J19" s="448"/>
      <c r="K19" s="448"/>
      <c r="L19" s="448"/>
      <c r="M19" s="448"/>
      <c r="N19" s="448"/>
      <c r="O19" s="448" cm="1">
        <f t="array" aca="1" ref="O19" ca="1">OFFSET(INDIRECT($AQ$6),5,11)</f>
        <v>0</v>
      </c>
      <c r="P19" s="448"/>
      <c r="Q19" s="448"/>
      <c r="R19" s="448"/>
      <c r="S19" s="448"/>
      <c r="T19" s="449"/>
      <c r="U19" s="444">
        <f t="shared" ca="1" si="3"/>
        <v>45779</v>
      </c>
      <c r="V19" s="445"/>
      <c r="W19" s="445"/>
      <c r="X19" s="445"/>
      <c r="Y19" s="445"/>
      <c r="Z19" s="445" t="str">
        <f t="shared" ca="1" si="4"/>
        <v>金</v>
      </c>
      <c r="AA19" s="445"/>
      <c r="AB19" s="445"/>
      <c r="AC19" s="448" cm="1">
        <f t="array" aca="1" ref="AC19" ca="1">OFFSET(INDIRECT($AQ$6),4,25)</f>
        <v>0</v>
      </c>
      <c r="AD19" s="448"/>
      <c r="AE19" s="448"/>
      <c r="AF19" s="448"/>
      <c r="AG19" s="448"/>
      <c r="AH19" s="448"/>
      <c r="AI19" s="448" cm="1">
        <f t="array" aca="1" ref="AI19" ca="1">OFFSET(INDIRECT($AQ$6),5,25)</f>
        <v>0</v>
      </c>
      <c r="AJ19" s="448"/>
      <c r="AK19" s="448"/>
      <c r="AL19" s="448"/>
      <c r="AM19" s="448"/>
      <c r="AN19" s="462"/>
      <c r="AO19" s="93"/>
      <c r="AP19" s="115"/>
      <c r="AQ19" s="228">
        <v>8</v>
      </c>
      <c r="AR19" s="230" t="s">
        <v>151</v>
      </c>
      <c r="AS19" s="91" t="s">
        <v>199</v>
      </c>
      <c r="AT19" s="91" t="s">
        <v>200</v>
      </c>
      <c r="AU19" s="229" t="s">
        <v>180</v>
      </c>
      <c r="AV19" s="228" t="s">
        <v>235</v>
      </c>
      <c r="AW19" s="275" t="s">
        <v>325</v>
      </c>
      <c r="AX19" s="228"/>
    </row>
    <row r="20" spans="1:59" ht="19.5" customHeight="1">
      <c r="A20" s="444">
        <f t="shared" ca="1" si="2"/>
        <v>45766</v>
      </c>
      <c r="B20" s="445"/>
      <c r="C20" s="445"/>
      <c r="D20" s="445"/>
      <c r="E20" s="445"/>
      <c r="F20" s="445" t="str">
        <f t="shared" ca="1" si="1"/>
        <v>土</v>
      </c>
      <c r="G20" s="445"/>
      <c r="H20" s="445"/>
      <c r="I20" s="448" t="str" cm="1">
        <f t="array" aca="1" ref="I20" ca="1">OFFSET(INDIRECT($AQ$6),4,12)</f>
        <v>休</v>
      </c>
      <c r="J20" s="448"/>
      <c r="K20" s="448"/>
      <c r="L20" s="448"/>
      <c r="M20" s="448"/>
      <c r="N20" s="448"/>
      <c r="O20" s="448" cm="1">
        <f t="array" aca="1" ref="O20" ca="1">OFFSET(INDIRECT($AQ$6),5,12)</f>
        <v>0</v>
      </c>
      <c r="P20" s="448"/>
      <c r="Q20" s="448"/>
      <c r="R20" s="448"/>
      <c r="S20" s="448"/>
      <c r="T20" s="449"/>
      <c r="U20" s="444">
        <f t="shared" ca="1" si="3"/>
        <v>45780</v>
      </c>
      <c r="V20" s="445"/>
      <c r="W20" s="445"/>
      <c r="X20" s="445"/>
      <c r="Y20" s="445"/>
      <c r="Z20" s="445" t="str">
        <f t="shared" ca="1" si="4"/>
        <v>土</v>
      </c>
      <c r="AA20" s="445"/>
      <c r="AB20" s="445"/>
      <c r="AC20" s="448" t="str" cm="1">
        <f t="array" aca="1" ref="AC20" ca="1">OFFSET(INDIRECT($AQ$6),4,26)</f>
        <v>休</v>
      </c>
      <c r="AD20" s="448"/>
      <c r="AE20" s="448"/>
      <c r="AF20" s="448"/>
      <c r="AG20" s="448"/>
      <c r="AH20" s="448"/>
      <c r="AI20" s="448" cm="1">
        <f t="array" aca="1" ref="AI20" ca="1">OFFSET(INDIRECT($AQ$6),5,26)</f>
        <v>0</v>
      </c>
      <c r="AJ20" s="448"/>
      <c r="AK20" s="448"/>
      <c r="AL20" s="448"/>
      <c r="AM20" s="448"/>
      <c r="AN20" s="462"/>
      <c r="AO20" s="93"/>
      <c r="AP20" s="115"/>
      <c r="AQ20" s="228">
        <v>9</v>
      </c>
      <c r="AR20" s="230" t="s">
        <v>152</v>
      </c>
      <c r="AS20" s="91" t="s">
        <v>201</v>
      </c>
      <c r="AT20" s="91" t="s">
        <v>202</v>
      </c>
      <c r="AU20" s="229" t="s">
        <v>181</v>
      </c>
      <c r="AV20" s="228" t="s">
        <v>236</v>
      </c>
      <c r="AW20" s="275" t="s">
        <v>326</v>
      </c>
      <c r="AX20" s="228"/>
    </row>
    <row r="21" spans="1:59" ht="19.5" customHeight="1" thickBot="1">
      <c r="A21" s="446">
        <f t="shared" ca="1" si="2"/>
        <v>45767</v>
      </c>
      <c r="B21" s="447"/>
      <c r="C21" s="447"/>
      <c r="D21" s="447"/>
      <c r="E21" s="447"/>
      <c r="F21" s="447" t="str">
        <f t="shared" ca="1" si="1"/>
        <v>日</v>
      </c>
      <c r="G21" s="447"/>
      <c r="H21" s="447"/>
      <c r="I21" s="450" t="str" cm="1">
        <f t="array" aca="1" ref="I21" ca="1">OFFSET(INDIRECT($AQ$6),4,13)</f>
        <v>休</v>
      </c>
      <c r="J21" s="450"/>
      <c r="K21" s="450"/>
      <c r="L21" s="450"/>
      <c r="M21" s="450"/>
      <c r="N21" s="450"/>
      <c r="O21" s="450" cm="1">
        <f t="array" aca="1" ref="O21" ca="1">OFFSET(INDIRECT($AQ$6),5,13)</f>
        <v>0</v>
      </c>
      <c r="P21" s="450"/>
      <c r="Q21" s="450"/>
      <c r="R21" s="450"/>
      <c r="S21" s="450"/>
      <c r="T21" s="451"/>
      <c r="U21" s="446">
        <f ca="1">U20+1</f>
        <v>45781</v>
      </c>
      <c r="V21" s="447"/>
      <c r="W21" s="447"/>
      <c r="X21" s="447"/>
      <c r="Y21" s="447"/>
      <c r="Z21" s="447" t="str">
        <f t="shared" ca="1" si="4"/>
        <v>日</v>
      </c>
      <c r="AA21" s="447"/>
      <c r="AB21" s="447"/>
      <c r="AC21" s="450" t="str" cm="1">
        <f t="array" aca="1" ref="AC21" ca="1">OFFSET(INDIRECT($AQ$6),4,27)</f>
        <v>休</v>
      </c>
      <c r="AD21" s="450"/>
      <c r="AE21" s="450"/>
      <c r="AF21" s="450"/>
      <c r="AG21" s="450"/>
      <c r="AH21" s="450"/>
      <c r="AI21" s="450" cm="1">
        <f t="array" aca="1" ref="AI21" ca="1">OFFSET(INDIRECT($AQ$6),5,27)</f>
        <v>0</v>
      </c>
      <c r="AJ21" s="450"/>
      <c r="AK21" s="450"/>
      <c r="AL21" s="450"/>
      <c r="AM21" s="450"/>
      <c r="AN21" s="470"/>
      <c r="AO21" s="93"/>
      <c r="AP21" s="115"/>
      <c r="AQ21" s="228">
        <v>10</v>
      </c>
      <c r="AR21" s="230" t="s">
        <v>153</v>
      </c>
      <c r="AS21" s="91" t="s">
        <v>203</v>
      </c>
      <c r="AT21" s="91" t="s">
        <v>204</v>
      </c>
      <c r="AU21" s="229" t="s">
        <v>182</v>
      </c>
      <c r="AV21" s="228" t="s">
        <v>237</v>
      </c>
      <c r="AW21" s="275" t="s">
        <v>327</v>
      </c>
      <c r="AX21" s="228"/>
    </row>
    <row r="22" spans="1:59" ht="19.5" customHeight="1">
      <c r="A22" s="238"/>
      <c r="B22" s="238"/>
      <c r="C22" s="238"/>
      <c r="D22" s="238"/>
      <c r="E22" s="238"/>
      <c r="F22" s="238"/>
      <c r="G22" s="238"/>
      <c r="H22" s="238"/>
      <c r="I22" s="239"/>
      <c r="J22" s="239"/>
      <c r="K22" s="239"/>
      <c r="L22" s="239"/>
      <c r="M22" s="239"/>
      <c r="N22" s="239"/>
      <c r="O22" s="239"/>
      <c r="P22" s="239"/>
      <c r="Q22" s="239"/>
      <c r="R22" s="239"/>
      <c r="S22" s="239"/>
      <c r="T22" s="239"/>
      <c r="U22" s="238"/>
      <c r="V22" s="238"/>
      <c r="W22" s="238"/>
      <c r="X22" s="238"/>
      <c r="Y22" s="238"/>
      <c r="Z22" s="238"/>
      <c r="AA22" s="238"/>
      <c r="AB22" s="238"/>
      <c r="AC22" s="238"/>
      <c r="AD22" s="238"/>
      <c r="AE22" s="238"/>
      <c r="AF22" s="238"/>
      <c r="AG22" s="238"/>
      <c r="AH22" s="238"/>
      <c r="AI22" s="238"/>
      <c r="AJ22" s="238"/>
      <c r="AK22" s="238"/>
      <c r="AL22" s="238"/>
      <c r="AM22" s="238"/>
      <c r="AN22" s="238"/>
      <c r="AO22" s="93"/>
      <c r="AP22" s="115"/>
      <c r="AQ22" s="228">
        <v>11</v>
      </c>
      <c r="AR22" s="230" t="s">
        <v>154</v>
      </c>
      <c r="AS22" s="91" t="s">
        <v>205</v>
      </c>
      <c r="AT22" s="91" t="s">
        <v>206</v>
      </c>
      <c r="AU22" s="229" t="s">
        <v>169</v>
      </c>
      <c r="AV22" s="228" t="s">
        <v>238</v>
      </c>
      <c r="AW22" s="275" t="s">
        <v>328</v>
      </c>
      <c r="AX22" s="228"/>
      <c r="AY22" s="105"/>
      <c r="AZ22" s="105"/>
      <c r="BA22" s="105"/>
      <c r="BB22" s="105"/>
    </row>
    <row r="23" spans="1:59" ht="19.5" customHeight="1">
      <c r="A23" s="440" t="s">
        <v>253</v>
      </c>
      <c r="B23" s="441"/>
      <c r="C23" s="441"/>
      <c r="D23" s="441"/>
      <c r="E23" s="441"/>
      <c r="F23" s="441"/>
      <c r="G23" s="243"/>
      <c r="H23" s="240" t="s">
        <v>314</v>
      </c>
      <c r="I23" s="240"/>
      <c r="J23" s="240"/>
      <c r="K23" s="240"/>
      <c r="L23" s="240"/>
      <c r="M23" s="240"/>
      <c r="N23" s="240"/>
      <c r="O23" s="240"/>
      <c r="P23" s="240"/>
      <c r="Q23" s="240"/>
      <c r="R23" s="468" t="s">
        <v>311</v>
      </c>
      <c r="S23" s="468"/>
      <c r="T23" s="468"/>
      <c r="U23" s="468"/>
      <c r="V23" s="468"/>
      <c r="W23" s="468"/>
      <c r="X23" s="468"/>
      <c r="Y23" s="468"/>
      <c r="Z23" s="468"/>
      <c r="AA23" s="468"/>
      <c r="AB23" s="468"/>
      <c r="AC23" s="468"/>
      <c r="AD23" s="468"/>
      <c r="AE23" s="468"/>
      <c r="AF23" s="468"/>
      <c r="AG23" s="468"/>
      <c r="AH23" s="468"/>
      <c r="AI23" s="468"/>
      <c r="AJ23" s="468"/>
      <c r="AK23" s="468"/>
      <c r="AL23" s="468"/>
      <c r="AM23" s="468"/>
      <c r="AN23" s="469"/>
      <c r="AO23" s="280" t="s">
        <v>338</v>
      </c>
      <c r="AP23" s="115"/>
      <c r="AQ23" s="228">
        <v>12</v>
      </c>
      <c r="AR23" s="230" t="s">
        <v>155</v>
      </c>
      <c r="AS23" s="91" t="s">
        <v>207</v>
      </c>
      <c r="AT23" s="91" t="s">
        <v>208</v>
      </c>
      <c r="AU23" s="229" t="s">
        <v>183</v>
      </c>
      <c r="AV23" s="228" t="s">
        <v>230</v>
      </c>
      <c r="AW23" s="275" t="s">
        <v>329</v>
      </c>
      <c r="AX23" s="228"/>
    </row>
    <row r="24" spans="1:59" ht="19.5" customHeight="1">
      <c r="A24" s="276"/>
      <c r="B24" s="242"/>
      <c r="C24" s="242"/>
      <c r="D24" s="242"/>
      <c r="E24" s="242"/>
      <c r="F24" s="242"/>
      <c r="G24" s="242"/>
      <c r="H24" s="242"/>
      <c r="I24" s="242"/>
      <c r="J24" s="242"/>
      <c r="K24" s="242"/>
      <c r="L24" s="242"/>
      <c r="M24" s="242"/>
      <c r="N24" s="242"/>
      <c r="O24" s="242"/>
      <c r="P24" s="242"/>
      <c r="Q24" s="242"/>
      <c r="R24" s="242"/>
      <c r="S24" s="242"/>
      <c r="T24" s="242"/>
      <c r="U24" s="242"/>
      <c r="V24" s="242"/>
      <c r="W24" s="242"/>
      <c r="X24" s="242"/>
      <c r="Y24" s="242"/>
      <c r="Z24" s="242"/>
      <c r="AA24" s="242"/>
      <c r="AB24" s="242"/>
      <c r="AC24" s="242"/>
      <c r="AD24" s="104"/>
      <c r="AE24" s="104"/>
      <c r="AF24" s="104"/>
      <c r="AG24" s="104"/>
      <c r="AH24" s="104"/>
      <c r="AI24" s="104"/>
      <c r="AJ24" s="104"/>
      <c r="AK24" s="104"/>
      <c r="AL24" s="104"/>
      <c r="AM24" s="104"/>
      <c r="AN24" s="177"/>
      <c r="AO24" s="93"/>
      <c r="AP24" s="115"/>
      <c r="AQ24" s="228">
        <v>13</v>
      </c>
      <c r="AR24" s="230" t="s">
        <v>156</v>
      </c>
      <c r="AS24" s="91" t="s">
        <v>209</v>
      </c>
      <c r="AT24" s="91" t="s">
        <v>210</v>
      </c>
      <c r="AU24" s="229" t="s">
        <v>184</v>
      </c>
      <c r="AV24" s="228" t="s">
        <v>239</v>
      </c>
      <c r="AW24" s="275" t="s">
        <v>330</v>
      </c>
      <c r="AX24" s="228"/>
      <c r="BG24" s="281" t="s">
        <v>339</v>
      </c>
    </row>
    <row r="25" spans="1:59" ht="19.5" customHeight="1">
      <c r="A25" s="427" t="s">
        <v>344</v>
      </c>
      <c r="B25" s="428"/>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8"/>
      <c r="AK25" s="428"/>
      <c r="AL25" s="428"/>
      <c r="AM25" s="428"/>
      <c r="AN25" s="429"/>
      <c r="AO25" s="93"/>
      <c r="AP25" s="115"/>
      <c r="AQ25" s="228">
        <v>14</v>
      </c>
      <c r="AR25" s="230" t="s">
        <v>157</v>
      </c>
      <c r="AS25" s="91" t="s">
        <v>211</v>
      </c>
      <c r="AT25" s="91" t="s">
        <v>212</v>
      </c>
      <c r="AU25" s="229" t="s">
        <v>185</v>
      </c>
      <c r="AV25" s="228" t="s">
        <v>240</v>
      </c>
      <c r="AW25" s="275" t="s">
        <v>331</v>
      </c>
      <c r="AX25" s="228"/>
      <c r="BG25" s="282" t="s">
        <v>340</v>
      </c>
    </row>
    <row r="26" spans="1:59" ht="19.5" customHeight="1">
      <c r="A26" s="427" t="s">
        <v>342</v>
      </c>
      <c r="B26" s="428"/>
      <c r="C26" s="428"/>
      <c r="D26" s="428"/>
      <c r="E26" s="428"/>
      <c r="F26" s="428"/>
      <c r="G26" s="428"/>
      <c r="H26" s="428"/>
      <c r="I26" s="428"/>
      <c r="J26" s="428"/>
      <c r="K26" s="428"/>
      <c r="L26" s="428"/>
      <c r="M26" s="428"/>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c r="AL26" s="428"/>
      <c r="AM26" s="428"/>
      <c r="AN26" s="429"/>
      <c r="AO26" s="93"/>
      <c r="AP26" s="115"/>
      <c r="AQ26" s="228">
        <v>15</v>
      </c>
      <c r="AR26" s="230" t="s">
        <v>158</v>
      </c>
      <c r="AS26" s="91" t="s">
        <v>213</v>
      </c>
      <c r="AT26" s="91" t="s">
        <v>214</v>
      </c>
      <c r="AU26" s="229" t="s">
        <v>186</v>
      </c>
      <c r="AV26" s="228" t="s">
        <v>241</v>
      </c>
      <c r="AW26" s="275" t="s">
        <v>332</v>
      </c>
      <c r="AX26" s="228"/>
    </row>
    <row r="27" spans="1:59" ht="19.5" customHeight="1">
      <c r="A27" s="427"/>
      <c r="B27" s="428"/>
      <c r="C27" s="428"/>
      <c r="D27" s="428"/>
      <c r="E27" s="428"/>
      <c r="F27" s="428"/>
      <c r="G27" s="428"/>
      <c r="H27" s="428"/>
      <c r="I27" s="428"/>
      <c r="J27" s="428"/>
      <c r="K27" s="428"/>
      <c r="L27" s="428"/>
      <c r="M27" s="428"/>
      <c r="N27" s="428"/>
      <c r="O27" s="428"/>
      <c r="P27" s="428"/>
      <c r="Q27" s="428"/>
      <c r="R27" s="428"/>
      <c r="S27" s="428"/>
      <c r="T27" s="428"/>
      <c r="U27" s="428"/>
      <c r="V27" s="428"/>
      <c r="W27" s="428"/>
      <c r="X27" s="428"/>
      <c r="Y27" s="428"/>
      <c r="Z27" s="428"/>
      <c r="AA27" s="428"/>
      <c r="AB27" s="428"/>
      <c r="AC27" s="428"/>
      <c r="AD27" s="428"/>
      <c r="AE27" s="428"/>
      <c r="AF27" s="428"/>
      <c r="AG27" s="428"/>
      <c r="AH27" s="428"/>
      <c r="AI27" s="428"/>
      <c r="AJ27" s="428"/>
      <c r="AK27" s="428"/>
      <c r="AL27" s="428"/>
      <c r="AM27" s="428"/>
      <c r="AN27" s="429"/>
      <c r="AO27" s="93"/>
      <c r="AP27" s="115"/>
      <c r="AQ27" s="228">
        <v>16</v>
      </c>
      <c r="AR27" s="230" t="s">
        <v>159</v>
      </c>
      <c r="AS27" s="91" t="s">
        <v>215</v>
      </c>
      <c r="AT27" s="91" t="s">
        <v>216</v>
      </c>
      <c r="AU27" s="229" t="s">
        <v>170</v>
      </c>
      <c r="AV27" s="228" t="s">
        <v>242</v>
      </c>
      <c r="AW27" s="275" t="s">
        <v>333</v>
      </c>
      <c r="AX27" s="228"/>
    </row>
    <row r="28" spans="1:59" ht="19.5" customHeight="1">
      <c r="A28" s="427"/>
      <c r="B28" s="428"/>
      <c r="C28" s="428"/>
      <c r="D28" s="428"/>
      <c r="E28" s="428"/>
      <c r="F28" s="428"/>
      <c r="G28" s="428"/>
      <c r="H28" s="428"/>
      <c r="I28" s="428"/>
      <c r="J28" s="428"/>
      <c r="K28" s="428"/>
      <c r="L28" s="428"/>
      <c r="M28" s="428"/>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28"/>
      <c r="AL28" s="428"/>
      <c r="AM28" s="428"/>
      <c r="AN28" s="429"/>
      <c r="AP28" s="115"/>
      <c r="AQ28" s="231">
        <v>17</v>
      </c>
      <c r="AR28" s="230" t="s">
        <v>160</v>
      </c>
      <c r="AS28" s="91" t="s">
        <v>217</v>
      </c>
      <c r="AT28" s="91" t="s">
        <v>218</v>
      </c>
      <c r="AU28" s="229" t="s">
        <v>172</v>
      </c>
      <c r="AV28" s="228" t="s">
        <v>231</v>
      </c>
      <c r="AW28" s="275" t="s">
        <v>334</v>
      </c>
      <c r="AX28" s="96"/>
    </row>
    <row r="29" spans="1:59" ht="19.5" customHeight="1">
      <c r="A29" s="427"/>
      <c r="B29" s="428"/>
      <c r="C29" s="428"/>
      <c r="D29" s="428"/>
      <c r="E29" s="428"/>
      <c r="F29" s="428"/>
      <c r="G29" s="428"/>
      <c r="H29" s="428"/>
      <c r="I29" s="428"/>
      <c r="J29" s="428"/>
      <c r="K29" s="428"/>
      <c r="L29" s="428"/>
      <c r="M29" s="428"/>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28"/>
      <c r="AL29" s="428"/>
      <c r="AM29" s="428"/>
      <c r="AN29" s="429"/>
      <c r="AP29" s="115"/>
      <c r="AQ29" s="231">
        <v>18</v>
      </c>
      <c r="AR29" s="230" t="s">
        <v>161</v>
      </c>
      <c r="AS29" s="91" t="s">
        <v>219</v>
      </c>
      <c r="AT29" s="91" t="s">
        <v>220</v>
      </c>
      <c r="AU29" s="229" t="s">
        <v>173</v>
      </c>
      <c r="AV29" s="228" t="s">
        <v>243</v>
      </c>
      <c r="AW29" s="275" t="s">
        <v>335</v>
      </c>
      <c r="AX29" s="96"/>
    </row>
    <row r="30" spans="1:59" ht="19.5" customHeight="1">
      <c r="A30" s="427"/>
      <c r="B30" s="428"/>
      <c r="C30" s="428"/>
      <c r="D30" s="428"/>
      <c r="E30" s="428"/>
      <c r="F30" s="428"/>
      <c r="G30" s="428"/>
      <c r="H30" s="428"/>
      <c r="I30" s="428"/>
      <c r="J30" s="428"/>
      <c r="K30" s="428"/>
      <c r="L30" s="428"/>
      <c r="M30" s="428"/>
      <c r="N30" s="428"/>
      <c r="O30" s="428"/>
      <c r="P30" s="428"/>
      <c r="Q30" s="428"/>
      <c r="R30" s="428"/>
      <c r="S30" s="428"/>
      <c r="T30" s="428"/>
      <c r="U30" s="428"/>
      <c r="V30" s="428"/>
      <c r="W30" s="428"/>
      <c r="X30" s="428"/>
      <c r="Y30" s="428"/>
      <c r="Z30" s="428"/>
      <c r="AA30" s="428"/>
      <c r="AB30" s="428"/>
      <c r="AC30" s="428"/>
      <c r="AD30" s="428"/>
      <c r="AE30" s="428"/>
      <c r="AF30" s="428"/>
      <c r="AG30" s="428"/>
      <c r="AH30" s="428"/>
      <c r="AI30" s="428"/>
      <c r="AJ30" s="428"/>
      <c r="AK30" s="428"/>
      <c r="AL30" s="428"/>
      <c r="AM30" s="428"/>
      <c r="AN30" s="429"/>
      <c r="AP30" s="115"/>
      <c r="AQ30" s="231">
        <v>19</v>
      </c>
      <c r="AR30" s="230" t="s">
        <v>162</v>
      </c>
      <c r="AS30" s="91" t="s">
        <v>221</v>
      </c>
      <c r="AT30" s="91" t="s">
        <v>222</v>
      </c>
      <c r="AU30" s="229" t="s">
        <v>174</v>
      </c>
      <c r="AV30" s="228" t="s">
        <v>244</v>
      </c>
      <c r="AW30" s="275" t="s">
        <v>336</v>
      </c>
      <c r="AX30" s="96"/>
    </row>
    <row r="31" spans="1:59" ht="19.5" customHeight="1">
      <c r="A31" s="92"/>
      <c r="B31" s="92"/>
      <c r="C31" s="92"/>
      <c r="AP31" s="115"/>
      <c r="AQ31" s="231">
        <v>20</v>
      </c>
      <c r="AR31" s="230" t="s">
        <v>163</v>
      </c>
      <c r="AS31" s="91" t="s">
        <v>223</v>
      </c>
      <c r="AT31" s="91" t="s">
        <v>224</v>
      </c>
      <c r="AU31" s="229" t="s">
        <v>175</v>
      </c>
      <c r="AV31" s="228" t="s">
        <v>245</v>
      </c>
      <c r="AW31" s="275" t="s">
        <v>337</v>
      </c>
      <c r="AX31" s="96"/>
    </row>
    <row r="32" spans="1:59" ht="19.5" customHeight="1">
      <c r="AR32" s="107"/>
    </row>
    <row r="33" spans="42:44" ht="19.5" customHeight="1">
      <c r="AR33" s="107"/>
    </row>
    <row r="34" spans="42:44" ht="19.5" customHeight="1">
      <c r="AR34" s="107"/>
    </row>
    <row r="35" spans="42:44" ht="19.5" customHeight="1">
      <c r="AP35" s="108"/>
    </row>
    <row r="36" spans="42:44" ht="19.5" customHeight="1">
      <c r="AP36" s="108"/>
    </row>
    <row r="37" spans="42:44" ht="19.5" customHeight="1"/>
    <row r="38" spans="42:44" ht="19.5" customHeight="1"/>
    <row r="39" spans="42:44" ht="19.5" customHeight="1"/>
    <row r="40" spans="42:44" ht="19.5" customHeight="1"/>
  </sheetData>
  <mergeCells count="150">
    <mergeCell ref="BG8:BJ8"/>
    <mergeCell ref="BG9:BG10"/>
    <mergeCell ref="BG11:BG15"/>
    <mergeCell ref="A26:AN26"/>
    <mergeCell ref="A27:AN27"/>
    <mergeCell ref="A28:AN28"/>
    <mergeCell ref="A29:AN29"/>
    <mergeCell ref="A30:AN30"/>
    <mergeCell ref="A7:E7"/>
    <mergeCell ref="F7:H7"/>
    <mergeCell ref="I7:N7"/>
    <mergeCell ref="O7:T7"/>
    <mergeCell ref="U7:Y7"/>
    <mergeCell ref="Z7:AB7"/>
    <mergeCell ref="AC7:AH7"/>
    <mergeCell ref="AI7:AN7"/>
    <mergeCell ref="U10:Y10"/>
    <mergeCell ref="Z10:AB10"/>
    <mergeCell ref="AC10:AH10"/>
    <mergeCell ref="AI10:AN10"/>
    <mergeCell ref="AC19:AH19"/>
    <mergeCell ref="AI19:AN19"/>
    <mergeCell ref="AC20:AH20"/>
    <mergeCell ref="AI20:AN20"/>
    <mergeCell ref="AC16:AH16"/>
    <mergeCell ref="AI16:AN16"/>
    <mergeCell ref="AC17:AH17"/>
    <mergeCell ref="O5:P5"/>
    <mergeCell ref="Q5:X5"/>
    <mergeCell ref="K4:M4"/>
    <mergeCell ref="AA4:AF4"/>
    <mergeCell ref="AA5:AF5"/>
    <mergeCell ref="A23:F23"/>
    <mergeCell ref="R23:AN23"/>
    <mergeCell ref="A25:AN25"/>
    <mergeCell ref="U17:Y17"/>
    <mergeCell ref="U18:Y18"/>
    <mergeCell ref="U19:Y19"/>
    <mergeCell ref="AC21:AH21"/>
    <mergeCell ref="AI21:AN21"/>
    <mergeCell ref="AC11:AH11"/>
    <mergeCell ref="AI11:AN11"/>
    <mergeCell ref="AC12:AH12"/>
    <mergeCell ref="AI12:AN12"/>
    <mergeCell ref="AC13:AH13"/>
    <mergeCell ref="AI13:AN13"/>
    <mergeCell ref="AC14:AH14"/>
    <mergeCell ref="AI14:AN14"/>
    <mergeCell ref="AC15:AH15"/>
    <mergeCell ref="AI15:AN15"/>
    <mergeCell ref="Z11:AB11"/>
    <mergeCell ref="Z20:AB20"/>
    <mergeCell ref="I8:N8"/>
    <mergeCell ref="O8:T8"/>
    <mergeCell ref="I9:N9"/>
    <mergeCell ref="O9:T9"/>
    <mergeCell ref="I10:N10"/>
    <mergeCell ref="O10:T10"/>
    <mergeCell ref="I11:N11"/>
    <mergeCell ref="O11:T11"/>
    <mergeCell ref="I12:N12"/>
    <mergeCell ref="O12:T12"/>
    <mergeCell ref="Z12:AB12"/>
    <mergeCell ref="Z13:AB13"/>
    <mergeCell ref="Z14:AB14"/>
    <mergeCell ref="Z15:AB15"/>
    <mergeCell ref="Z16:AB16"/>
    <mergeCell ref="Z17:AB17"/>
    <mergeCell ref="Z18:AB18"/>
    <mergeCell ref="Z21:AB21"/>
    <mergeCell ref="I18:N18"/>
    <mergeCell ref="O18:T18"/>
    <mergeCell ref="I19:N19"/>
    <mergeCell ref="AI17:AN17"/>
    <mergeCell ref="AC18:AH18"/>
    <mergeCell ref="AI18:AN18"/>
    <mergeCell ref="O15:T15"/>
    <mergeCell ref="I16:N16"/>
    <mergeCell ref="I14:N14"/>
    <mergeCell ref="O14:T14"/>
    <mergeCell ref="I15:N15"/>
    <mergeCell ref="A1:AM1"/>
    <mergeCell ref="A11:E11"/>
    <mergeCell ref="A12:E12"/>
    <mergeCell ref="A17:E17"/>
    <mergeCell ref="A18:E18"/>
    <mergeCell ref="A19:E19"/>
    <mergeCell ref="F8:H8"/>
    <mergeCell ref="F9:H9"/>
    <mergeCell ref="F10:H10"/>
    <mergeCell ref="F11:H11"/>
    <mergeCell ref="F12:H12"/>
    <mergeCell ref="F13:H13"/>
    <mergeCell ref="F14:H14"/>
    <mergeCell ref="F15:H15"/>
    <mergeCell ref="F16:H16"/>
    <mergeCell ref="Z19:AB19"/>
    <mergeCell ref="U15:Y15"/>
    <mergeCell ref="U16:Y16"/>
    <mergeCell ref="O16:T16"/>
    <mergeCell ref="I17:N17"/>
    <mergeCell ref="O17:T17"/>
    <mergeCell ref="BA3:BD3"/>
    <mergeCell ref="BA4:BA5"/>
    <mergeCell ref="BA6:BA10"/>
    <mergeCell ref="A3:F3"/>
    <mergeCell ref="A4:F4"/>
    <mergeCell ref="AG3:AM3"/>
    <mergeCell ref="AA3:AF3"/>
    <mergeCell ref="A8:E8"/>
    <mergeCell ref="A9:E9"/>
    <mergeCell ref="A10:E10"/>
    <mergeCell ref="AG5:AM5"/>
    <mergeCell ref="AG4:AM4"/>
    <mergeCell ref="U8:Y8"/>
    <mergeCell ref="Z8:AB8"/>
    <mergeCell ref="AC8:AH8"/>
    <mergeCell ref="AI8:AN8"/>
    <mergeCell ref="U9:Y9"/>
    <mergeCell ref="Z9:AB9"/>
    <mergeCell ref="AC9:AH9"/>
    <mergeCell ref="AI9:AN9"/>
    <mergeCell ref="G4:H4"/>
    <mergeCell ref="I4:J4"/>
    <mergeCell ref="A5:F5"/>
    <mergeCell ref="G5:N5"/>
    <mergeCell ref="A20:E20"/>
    <mergeCell ref="A21:E21"/>
    <mergeCell ref="U11:Y11"/>
    <mergeCell ref="U12:Y12"/>
    <mergeCell ref="U13:Y13"/>
    <mergeCell ref="U14:Y14"/>
    <mergeCell ref="U20:Y20"/>
    <mergeCell ref="U21:Y21"/>
    <mergeCell ref="A13:E13"/>
    <mergeCell ref="A14:E14"/>
    <mergeCell ref="A15:E15"/>
    <mergeCell ref="A16:E16"/>
    <mergeCell ref="F20:H20"/>
    <mergeCell ref="F21:H21"/>
    <mergeCell ref="O19:T19"/>
    <mergeCell ref="I20:N20"/>
    <mergeCell ref="O20:T20"/>
    <mergeCell ref="I21:N21"/>
    <mergeCell ref="O21:T21"/>
    <mergeCell ref="F17:H17"/>
    <mergeCell ref="F18:H18"/>
    <mergeCell ref="F19:H19"/>
    <mergeCell ref="I13:N13"/>
    <mergeCell ref="O13:T13"/>
  </mergeCells>
  <phoneticPr fontId="1"/>
  <conditionalFormatting sqref="A8:T21">
    <cfRule type="expression" dxfId="11" priority="11">
      <formula>WEEKDAY($A8:A23)=1</formula>
    </cfRule>
    <cfRule type="expression" dxfId="10" priority="12">
      <formula>WEEKDAY($A8:A23)=7</formula>
    </cfRule>
  </conditionalFormatting>
  <conditionalFormatting sqref="U8:AN21">
    <cfRule type="expression" dxfId="9" priority="5">
      <formula>WEEKDAY($U8:U22)=1</formula>
    </cfRule>
    <cfRule type="expression" dxfId="8" priority="6">
      <formula>WEEKDAY($U8:U22)=7</formula>
    </cfRule>
  </conditionalFormatting>
  <dataValidations count="1">
    <dataValidation type="list" allowBlank="1" showInputMessage="1" showErrorMessage="1" sqref="R23" xr:uid="{0A45C481-1D84-4FDE-81DB-365F3E758441}">
      <formula1>$AQ$2:$AQ$5</formula1>
    </dataValidation>
  </dataValidations>
  <pageMargins left="0.9055118110236221" right="0.9055118110236221" top="0.98425196850393704" bottom="0.98425196850393704" header="0.31496062992125984" footer="0.31496062992125984"/>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マニュアル</vt:lpstr>
      <vt:lpstr>休日取得計画表兼実施報告書</vt:lpstr>
      <vt:lpstr>履行報告書（各月）</vt:lpstr>
      <vt:lpstr>履行報告書(周期)</vt:lpstr>
      <vt:lpstr>マニュアル!Print_Area</vt:lpstr>
      <vt:lpstr>休日取得計画表兼実施報告書!Print_Area</vt:lpstr>
      <vt:lpstr>'履行報告書（各月）'!Print_Area</vt:lpstr>
      <vt:lpstr>'履行報告書(周期)'!Print_Area</vt:lpstr>
    </vt:vector>
  </TitlesOfParts>
  <Company>福岡市役所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FINE_User</dc:creator>
  <cp:lastModifiedBy>Administrator</cp:lastModifiedBy>
  <cp:lastPrinted>2025-12-05T05:15:23Z</cp:lastPrinted>
  <dcterms:created xsi:type="dcterms:W3CDTF">2019-01-30T02:30:37Z</dcterms:created>
  <dcterms:modified xsi:type="dcterms:W3CDTF">2025-12-05T05:57:21Z</dcterms:modified>
</cp:coreProperties>
</file>