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3.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heckCompatibility="1" defaultThemeVersion="124226"/>
  <mc:AlternateContent xmlns:mc="http://schemas.openxmlformats.org/markup-compatibility/2006">
    <mc:Choice Requires="x15">
      <x15ac:absPath xmlns:x15ac="http://schemas.microsoft.com/office/spreadsheetml/2010/11/ac" url="C:\Users\R-TPX13-210410a\Desktop\様式\4.15\"/>
    </mc:Choice>
  </mc:AlternateContent>
  <xr:revisionPtr revIDLastSave="0" documentId="13_ncr:1_{4C79FBA4-B33D-48C2-95E8-FCBB50210B2C}" xr6:coauthVersionLast="47" xr6:coauthVersionMax="47" xr10:uidLastSave="{00000000-0000-0000-0000-000000000000}"/>
  <bookViews>
    <workbookView xWindow="-120" yWindow="-120" windowWidth="20730" windowHeight="11040" tabRatio="958" xr2:uid="{00000000-000D-0000-FFFF-FFFF00000000}"/>
  </bookViews>
  <sheets>
    <sheet name="様式３" sheetId="13" r:id="rId1"/>
    <sheet name="総括 (2)" sheetId="46" state="hidden" r:id="rId2"/>
    <sheet name="総括" sheetId="5" state="hidden" r:id="rId3"/>
    <sheet name="事業費B(還付・工事費減)" sheetId="40" state="hidden" r:id="rId4"/>
    <sheet name="床価格B(還付・工事費減)" sheetId="41" state="hidden" r:id="rId5"/>
    <sheet name="事業費C(還付・緊促・充100%)" sheetId="37" state="hidden" r:id="rId6"/>
    <sheet name="床価格C(還付・緊促・充100%)" sheetId="39" state="hidden" r:id="rId7"/>
    <sheet name="事業費D(還付・緊促・充100%・ホ補助有)" sheetId="35" state="hidden" r:id="rId8"/>
    <sheet name="床価格D(還付・緊促・充100%・ホ補助有)" sheetId="36" state="hidden" r:id="rId9"/>
    <sheet name="事業費A(還付) (2)" sheetId="42" state="hidden" r:id="rId10"/>
    <sheet name="消費税還付の計算" sheetId="38" state="hidden" r:id="rId11"/>
    <sheet name="料率計算表 (50億円以下)" sheetId="45" state="hidden" r:id="rId12"/>
    <sheet name="監理料(告示98号）" sheetId="33" state="hidden" r:id="rId13"/>
    <sheet name="市場環境" sheetId="9" state="hidden" r:id="rId14"/>
    <sheet name="原価率" sheetId="11" state="hidden" r:id="rId15"/>
    <sheet name="再建補償率" sheetId="12" state="hidden" r:id="rId16"/>
    <sheet name="海年度別" sheetId="25" state="hidden" r:id="rId17"/>
  </sheets>
  <definedNames>
    <definedName name="_xlnm.Print_Area" localSheetId="16">海年度別!$A$1:$K$79</definedName>
    <definedName name="_xlnm.Print_Area" localSheetId="12">'監理料(告示98号）'!$A$1:$AZ$85</definedName>
    <definedName name="_xlnm.Print_Area" localSheetId="13">市場環境!$B$1:$W$18</definedName>
    <definedName name="_xlnm.Print_Area" localSheetId="9">'事業費A(還付) (2)'!$A$1:$O$54</definedName>
    <definedName name="_xlnm.Print_Area" localSheetId="3">'事業費B(還付・工事費減)'!$A$1:$O$54</definedName>
    <definedName name="_xlnm.Print_Area" localSheetId="5">'事業費C(還付・緊促・充100%)'!$A$1:$O$55</definedName>
    <definedName name="_xlnm.Print_Area" localSheetId="7">'事業費D(還付・緊促・充100%・ホ補助有)'!$A$1:$O$55</definedName>
    <definedName name="_xlnm.Print_Area" localSheetId="4">'床価格B(還付・工事費減)'!$A$1:$M$50</definedName>
    <definedName name="_xlnm.Print_Area" localSheetId="6">'床価格C(還付・緊促・充100%)'!$A$1:$M$50</definedName>
    <definedName name="_xlnm.Print_Area" localSheetId="8">'床価格D(還付・緊促・充100%・ホ補助有)'!$A$1:$M$50</definedName>
    <definedName name="_xlnm.Print_Area" localSheetId="10">消費税還付の計算!$A$1:$N$68</definedName>
    <definedName name="_xlnm.Print_Area" localSheetId="2">総括!$A$1:$X$49</definedName>
    <definedName name="_xlnm.Print_Area" localSheetId="0">様式３!$A$1:$O$72</definedName>
    <definedName name="一般会計1">#REF!</definedName>
    <definedName name="一般会計2">#REF!</definedName>
    <definedName name="一般会計3">#REF!</definedName>
    <definedName name="公管金1">#REF!</definedName>
    <definedName name="公管金2">#REF!</definedName>
    <definedName name="公管金3">#REF!</definedName>
    <definedName name="工事費">#REF!</definedName>
    <definedName name="支出金1">#REF!</definedName>
    <definedName name="支出金2">#REF!</definedName>
    <definedName name="支出金3">#REF!</definedName>
    <definedName name="支出金4">#REF!</definedName>
    <definedName name="床価額">#REF!</definedName>
    <definedName name="消費税">#REF!</definedName>
    <definedName name="前提延床面積">#REF!</definedName>
    <definedName name="前提建築面積">#REF!</definedName>
    <definedName name="前提敷地面積">#REF!</definedName>
    <definedName name="総床原価">#REF!</definedName>
    <definedName name="転出率">#REF!</definedName>
    <definedName name="面積表">#REF!</definedName>
  </definedNames>
  <calcPr calcId="191029"/>
</workbook>
</file>

<file path=xl/calcChain.xml><?xml version="1.0" encoding="utf-8"?>
<calcChain xmlns="http://schemas.openxmlformats.org/spreadsheetml/2006/main">
  <c r="G70" i="13" l="1"/>
  <c r="E70" i="13"/>
  <c r="I71" i="13"/>
  <c r="L71" i="13" s="1"/>
  <c r="I69" i="13"/>
  <c r="L69" i="13" s="1"/>
  <c r="I68" i="13"/>
  <c r="L68" i="13" s="1"/>
  <c r="I67" i="13"/>
  <c r="L67" i="13" s="1"/>
  <c r="I66" i="13"/>
  <c r="L66" i="13" s="1"/>
  <c r="I65" i="13"/>
  <c r="L65" i="13" s="1"/>
  <c r="I64" i="13"/>
  <c r="L64" i="13" s="1"/>
  <c r="I63" i="13"/>
  <c r="L63" i="13" s="1"/>
  <c r="K30" i="13"/>
  <c r="K26" i="13"/>
  <c r="K24" i="13"/>
  <c r="K23" i="13"/>
  <c r="I70" i="13" l="1"/>
  <c r="L70" i="13" s="1"/>
  <c r="I18" i="13"/>
  <c r="K18" i="13" s="1"/>
  <c r="M18" i="13" s="1"/>
  <c r="G10" i="13"/>
  <c r="H10" i="13" s="1"/>
  <c r="G5" i="13"/>
  <c r="H5" i="13" s="1"/>
  <c r="C15" i="13"/>
  <c r="E7" i="13"/>
  <c r="C11" i="13" s="1"/>
  <c r="I5" i="13" l="1"/>
  <c r="K5" i="13" l="1"/>
  <c r="M5" i="13" l="1"/>
  <c r="M12" i="13" s="1"/>
  <c r="E28" i="13"/>
  <c r="N5" i="13" l="1"/>
  <c r="H28" i="13"/>
  <c r="E29" i="13" l="1"/>
  <c r="H29" i="13" l="1"/>
  <c r="D11" i="46" l="1"/>
  <c r="F11" i="46" s="1"/>
  <c r="D10" i="46"/>
  <c r="F10" i="46" s="1"/>
  <c r="B10" i="46"/>
  <c r="H36" i="46" s="1"/>
  <c r="B9" i="46"/>
  <c r="F36" i="46" s="1"/>
  <c r="D8" i="46"/>
  <c r="F8" i="46" s="1"/>
  <c r="B8" i="46"/>
  <c r="D36" i="46" s="1"/>
  <c r="R2" i="46"/>
  <c r="N2" i="46"/>
  <c r="W1" i="46"/>
  <c r="R1" i="46"/>
  <c r="P1" i="46"/>
  <c r="N1" i="46"/>
  <c r="J34" i="42"/>
  <c r="D39" i="40"/>
  <c r="D38" i="40"/>
  <c r="L2" i="46"/>
  <c r="G43" i="5"/>
  <c r="E43" i="5"/>
  <c r="C43" i="5"/>
  <c r="C10" i="5"/>
  <c r="E10" i="5" s="1"/>
  <c r="P54" i="33"/>
  <c r="K54" i="33"/>
  <c r="P42" i="33"/>
  <c r="K42" i="33"/>
  <c r="P30" i="33"/>
  <c r="K30" i="33"/>
  <c r="P18" i="33"/>
  <c r="K18" i="33"/>
  <c r="O46" i="42"/>
  <c r="M45" i="42"/>
  <c r="L45" i="42"/>
  <c r="L46" i="42" s="1"/>
  <c r="I45" i="42"/>
  <c r="L44" i="42"/>
  <c r="N43" i="42"/>
  <c r="G43" i="42"/>
  <c r="C41" i="42"/>
  <c r="E41" i="42" s="1"/>
  <c r="H41" i="42" s="1"/>
  <c r="K40" i="42"/>
  <c r="C40" i="42"/>
  <c r="E40" i="42" s="1"/>
  <c r="B39" i="42"/>
  <c r="D38" i="42"/>
  <c r="B38" i="42"/>
  <c r="K37" i="42"/>
  <c r="J37" i="42"/>
  <c r="D37" i="42"/>
  <c r="C37" i="42"/>
  <c r="B37" i="42"/>
  <c r="D36" i="42"/>
  <c r="B36" i="42"/>
  <c r="D35" i="42"/>
  <c r="B35" i="42"/>
  <c r="K34" i="42"/>
  <c r="D34" i="42"/>
  <c r="B34" i="42"/>
  <c r="D33" i="42"/>
  <c r="B33" i="42"/>
  <c r="D32" i="42"/>
  <c r="B32" i="42"/>
  <c r="K31" i="42"/>
  <c r="D31" i="42"/>
  <c r="B31" i="42"/>
  <c r="O30" i="42"/>
  <c r="H30" i="42"/>
  <c r="K28" i="42"/>
  <c r="J28" i="42"/>
  <c r="K27" i="42"/>
  <c r="K26" i="42"/>
  <c r="J26" i="42"/>
  <c r="K25" i="42"/>
  <c r="J25" i="42"/>
  <c r="C25" i="42"/>
  <c r="E25" i="42" s="1"/>
  <c r="K24" i="42"/>
  <c r="J24" i="42"/>
  <c r="K23" i="42"/>
  <c r="K22" i="42"/>
  <c r="J22" i="42"/>
  <c r="G22" i="42"/>
  <c r="N21" i="42"/>
  <c r="N20" i="42"/>
  <c r="O19" i="42"/>
  <c r="H19" i="42"/>
  <c r="K17" i="42"/>
  <c r="C17" i="42"/>
  <c r="E17" i="42" s="1"/>
  <c r="K16" i="42"/>
  <c r="K15" i="42"/>
  <c r="K14" i="42"/>
  <c r="C11" i="42"/>
  <c r="E11" i="42" s="1"/>
  <c r="K10" i="42"/>
  <c r="J10" i="42"/>
  <c r="C10" i="42"/>
  <c r="E10" i="42" s="1"/>
  <c r="I10" i="42" s="1"/>
  <c r="K9" i="42"/>
  <c r="J9" i="42"/>
  <c r="K8" i="42"/>
  <c r="J8" i="42"/>
  <c r="K7" i="42"/>
  <c r="J7" i="42"/>
  <c r="E7" i="42"/>
  <c r="I7" i="42" s="1"/>
  <c r="K6" i="42"/>
  <c r="J6" i="42"/>
  <c r="K5" i="42"/>
  <c r="E5" i="42"/>
  <c r="I5" i="42"/>
  <c r="M1" i="42"/>
  <c r="P63" i="38"/>
  <c r="P61" i="38"/>
  <c r="P62" i="38" s="1"/>
  <c r="D37" i="40"/>
  <c r="D36" i="40"/>
  <c r="D35" i="40"/>
  <c r="D34" i="40"/>
  <c r="D33" i="40"/>
  <c r="D32" i="40"/>
  <c r="D31" i="40"/>
  <c r="F31" i="41"/>
  <c r="E31" i="41"/>
  <c r="G15" i="41"/>
  <c r="G17" i="41" s="1"/>
  <c r="F15" i="41"/>
  <c r="F17" i="41" s="1"/>
  <c r="D15" i="41"/>
  <c r="D17" i="41" s="1"/>
  <c r="K1" i="41"/>
  <c r="O46" i="40"/>
  <c r="M45" i="40"/>
  <c r="I45" i="40"/>
  <c r="L45" i="40" s="1"/>
  <c r="L44" i="40"/>
  <c r="N43" i="40"/>
  <c r="G43" i="40"/>
  <c r="C41" i="40"/>
  <c r="E41" i="40" s="1"/>
  <c r="H41" i="40" s="1"/>
  <c r="K40" i="40"/>
  <c r="J40" i="40"/>
  <c r="C40" i="40"/>
  <c r="E40" i="40" s="1"/>
  <c r="B39" i="40"/>
  <c r="B38" i="40"/>
  <c r="K37" i="40"/>
  <c r="J37" i="40"/>
  <c r="C37" i="40"/>
  <c r="B37" i="40"/>
  <c r="B36" i="40"/>
  <c r="B35" i="40"/>
  <c r="K34" i="40"/>
  <c r="J34" i="40"/>
  <c r="B34" i="40"/>
  <c r="B33" i="40"/>
  <c r="B32" i="40"/>
  <c r="K31" i="40"/>
  <c r="B31" i="40"/>
  <c r="O30" i="40"/>
  <c r="H30" i="40"/>
  <c r="K28" i="40"/>
  <c r="J28" i="40"/>
  <c r="K27" i="40"/>
  <c r="J27" i="40"/>
  <c r="K26" i="40"/>
  <c r="J26" i="40"/>
  <c r="K25" i="40"/>
  <c r="J25" i="40"/>
  <c r="K24" i="40"/>
  <c r="J24" i="40"/>
  <c r="K23" i="40"/>
  <c r="J23" i="40"/>
  <c r="K22" i="40"/>
  <c r="J22" i="40"/>
  <c r="G22" i="40"/>
  <c r="N21" i="40"/>
  <c r="N20" i="40"/>
  <c r="O19" i="40"/>
  <c r="H19" i="40"/>
  <c r="K17" i="40"/>
  <c r="C17" i="40"/>
  <c r="E17" i="40" s="1"/>
  <c r="K16" i="40"/>
  <c r="K15" i="40"/>
  <c r="K14" i="40"/>
  <c r="C11" i="40"/>
  <c r="E11" i="40" s="1"/>
  <c r="K10" i="40"/>
  <c r="J10" i="40"/>
  <c r="C10" i="40"/>
  <c r="E10" i="40" s="1"/>
  <c r="I10" i="40" s="1"/>
  <c r="K9" i="40"/>
  <c r="J9" i="40"/>
  <c r="K8" i="40"/>
  <c r="J8" i="40"/>
  <c r="K7" i="40"/>
  <c r="J7" i="40"/>
  <c r="E7" i="40"/>
  <c r="H7" i="40" s="1"/>
  <c r="K6" i="40"/>
  <c r="J6" i="40"/>
  <c r="K5" i="40"/>
  <c r="I5" i="40"/>
  <c r="E5" i="40"/>
  <c r="M1" i="40"/>
  <c r="F31" i="39"/>
  <c r="E31" i="39"/>
  <c r="G15" i="39"/>
  <c r="G17" i="39" s="1"/>
  <c r="F15" i="39"/>
  <c r="F17" i="39" s="1"/>
  <c r="D15" i="39"/>
  <c r="D17" i="39" s="1"/>
  <c r="K1" i="39"/>
  <c r="E65" i="38"/>
  <c r="M59" i="38"/>
  <c r="E57" i="38" s="1"/>
  <c r="M57" i="38"/>
  <c r="C57" i="38" s="1"/>
  <c r="E48" i="38"/>
  <c r="M42" i="38"/>
  <c r="E40" i="38" s="1"/>
  <c r="M40" i="38"/>
  <c r="E45" i="38" s="1"/>
  <c r="E31" i="38"/>
  <c r="M25" i="38"/>
  <c r="G31" i="38" s="1"/>
  <c r="M23" i="38"/>
  <c r="E28" i="38" s="1"/>
  <c r="E14" i="38"/>
  <c r="M8" i="38"/>
  <c r="E6" i="38" s="1"/>
  <c r="M6" i="38"/>
  <c r="C6" i="38" s="1"/>
  <c r="K40" i="35"/>
  <c r="K39" i="35"/>
  <c r="K38" i="35"/>
  <c r="K37" i="35"/>
  <c r="K36" i="35"/>
  <c r="K35" i="35"/>
  <c r="K34" i="35"/>
  <c r="K33" i="35"/>
  <c r="K32" i="35"/>
  <c r="K31" i="35"/>
  <c r="K28" i="35"/>
  <c r="K27" i="35"/>
  <c r="K26" i="35"/>
  <c r="K25" i="35"/>
  <c r="K24" i="35"/>
  <c r="K23" i="35"/>
  <c r="K22" i="35"/>
  <c r="K17" i="35"/>
  <c r="K16" i="35"/>
  <c r="K15" i="35"/>
  <c r="K14" i="35"/>
  <c r="K10" i="35"/>
  <c r="K9" i="35"/>
  <c r="K8" i="35"/>
  <c r="K7" i="35"/>
  <c r="K6" i="35"/>
  <c r="K40" i="37"/>
  <c r="K39" i="37"/>
  <c r="K38" i="37"/>
  <c r="K37" i="37"/>
  <c r="K36" i="37"/>
  <c r="K35" i="37"/>
  <c r="K34" i="37"/>
  <c r="K33" i="37"/>
  <c r="K32" i="37"/>
  <c r="K31" i="37"/>
  <c r="K28" i="37"/>
  <c r="K27" i="37"/>
  <c r="K26" i="37"/>
  <c r="K25" i="37"/>
  <c r="K24" i="37"/>
  <c r="K23" i="37"/>
  <c r="K22" i="37"/>
  <c r="K17" i="37"/>
  <c r="K16" i="37"/>
  <c r="K15" i="37"/>
  <c r="K14" i="37"/>
  <c r="K10" i="37"/>
  <c r="K9" i="37"/>
  <c r="K8" i="37"/>
  <c r="K7" i="37"/>
  <c r="K6" i="37"/>
  <c r="O46" i="37"/>
  <c r="M45" i="37"/>
  <c r="I45" i="37"/>
  <c r="L45" i="37" s="1"/>
  <c r="N45" i="37" s="1"/>
  <c r="L44" i="37"/>
  <c r="N44" i="37" s="1"/>
  <c r="N43" i="37"/>
  <c r="G43" i="37"/>
  <c r="C41" i="37"/>
  <c r="E41" i="37" s="1"/>
  <c r="H41" i="37" s="1"/>
  <c r="J40" i="37"/>
  <c r="C40" i="37"/>
  <c r="E40" i="37" s="1"/>
  <c r="B39" i="37"/>
  <c r="D38" i="37"/>
  <c r="B38" i="37"/>
  <c r="J37" i="37"/>
  <c r="D37" i="37"/>
  <c r="C37" i="37"/>
  <c r="B37" i="37"/>
  <c r="D36" i="37"/>
  <c r="B36" i="37"/>
  <c r="D35" i="37"/>
  <c r="B35" i="37"/>
  <c r="J34" i="37"/>
  <c r="D34" i="37"/>
  <c r="B34" i="37"/>
  <c r="D33" i="37"/>
  <c r="B33" i="37"/>
  <c r="D32" i="37"/>
  <c r="B32" i="37"/>
  <c r="J31" i="37"/>
  <c r="D31" i="37"/>
  <c r="B31" i="37"/>
  <c r="O30" i="37"/>
  <c r="H30" i="37"/>
  <c r="J28" i="37"/>
  <c r="J27" i="37"/>
  <c r="J26" i="37"/>
  <c r="J25" i="37"/>
  <c r="J24" i="37"/>
  <c r="J23" i="37"/>
  <c r="J22" i="37"/>
  <c r="G22" i="37"/>
  <c r="N21" i="37"/>
  <c r="N20" i="37"/>
  <c r="O19" i="37"/>
  <c r="H19" i="37"/>
  <c r="J17" i="37"/>
  <c r="C17" i="37"/>
  <c r="E17" i="37" s="1"/>
  <c r="J16" i="37"/>
  <c r="J15" i="37"/>
  <c r="J14" i="37"/>
  <c r="C11" i="37"/>
  <c r="E11" i="37" s="1"/>
  <c r="J10" i="37"/>
  <c r="C10" i="37"/>
  <c r="E10" i="37" s="1"/>
  <c r="I10" i="37" s="1"/>
  <c r="L10" i="37" s="1"/>
  <c r="J9" i="37"/>
  <c r="J8" i="37"/>
  <c r="J7" i="37"/>
  <c r="E7" i="37"/>
  <c r="H7" i="37" s="1"/>
  <c r="J6" i="37"/>
  <c r="E5" i="37"/>
  <c r="I5" i="37" s="1"/>
  <c r="L5" i="37" s="1"/>
  <c r="M1" i="37"/>
  <c r="I7" i="40"/>
  <c r="N44" i="40"/>
  <c r="E62" i="38"/>
  <c r="F31" i="36"/>
  <c r="E31" i="36"/>
  <c r="G15" i="36"/>
  <c r="G17" i="36" s="1"/>
  <c r="F15" i="36"/>
  <c r="F17" i="36" s="1"/>
  <c r="D15" i="36"/>
  <c r="D17" i="36" s="1"/>
  <c r="K1" i="36"/>
  <c r="O46" i="35"/>
  <c r="M45" i="35"/>
  <c r="I45" i="35"/>
  <c r="L45" i="35" s="1"/>
  <c r="L44" i="35"/>
  <c r="N44" i="35" s="1"/>
  <c r="N43" i="35"/>
  <c r="G43" i="35"/>
  <c r="C41" i="35"/>
  <c r="E41" i="35" s="1"/>
  <c r="H41" i="35" s="1"/>
  <c r="C40" i="35"/>
  <c r="E40" i="35" s="1"/>
  <c r="I40" i="35" s="1"/>
  <c r="B39" i="35"/>
  <c r="D38" i="35"/>
  <c r="B38" i="35"/>
  <c r="D37" i="35"/>
  <c r="C37" i="35"/>
  <c r="B37" i="35"/>
  <c r="D36" i="35"/>
  <c r="B36" i="35"/>
  <c r="D35" i="35"/>
  <c r="B35" i="35"/>
  <c r="D34" i="35"/>
  <c r="B34" i="35"/>
  <c r="D33" i="35"/>
  <c r="B33" i="35"/>
  <c r="D32" i="35"/>
  <c r="B32" i="35"/>
  <c r="J31" i="35"/>
  <c r="D31" i="35"/>
  <c r="B31" i="35"/>
  <c r="O30" i="35"/>
  <c r="H30" i="35"/>
  <c r="J28" i="35"/>
  <c r="J27" i="35"/>
  <c r="J26" i="35"/>
  <c r="J23" i="35"/>
  <c r="G22" i="35"/>
  <c r="N21" i="35"/>
  <c r="N20" i="35"/>
  <c r="O19" i="35"/>
  <c r="H19" i="35"/>
  <c r="J17" i="35"/>
  <c r="C17" i="35"/>
  <c r="E17" i="35" s="1"/>
  <c r="G17" i="35" s="1"/>
  <c r="J16" i="35"/>
  <c r="J15" i="35"/>
  <c r="J14" i="35"/>
  <c r="C11" i="35"/>
  <c r="E11" i="35" s="1"/>
  <c r="J10" i="35"/>
  <c r="C10" i="35"/>
  <c r="E10" i="35" s="1"/>
  <c r="I10" i="35" s="1"/>
  <c r="L10" i="35" s="1"/>
  <c r="J9" i="35"/>
  <c r="J8" i="35"/>
  <c r="J7" i="35"/>
  <c r="E7" i="35"/>
  <c r="H7" i="35" s="1"/>
  <c r="J6" i="35"/>
  <c r="E5" i="35"/>
  <c r="I5" i="35" s="1"/>
  <c r="L5" i="35" s="1"/>
  <c r="M1" i="35"/>
  <c r="F6" i="25"/>
  <c r="K6" i="25" s="1"/>
  <c r="C35" i="40"/>
  <c r="C34" i="40"/>
  <c r="C32" i="35"/>
  <c r="C31" i="42"/>
  <c r="AB65" i="33"/>
  <c r="L66" i="33"/>
  <c r="T65" i="33"/>
  <c r="P65" i="33"/>
  <c r="AB68" i="33"/>
  <c r="AB67" i="33"/>
  <c r="X67" i="33"/>
  <c r="AB66" i="33"/>
  <c r="BA54" i="33"/>
  <c r="BA52" i="33"/>
  <c r="BA50" i="33"/>
  <c r="BA48" i="33"/>
  <c r="BA42" i="33"/>
  <c r="BA40" i="33"/>
  <c r="BA38" i="33"/>
  <c r="BA36" i="33"/>
  <c r="BA30" i="33"/>
  <c r="BA28" i="33"/>
  <c r="BA26" i="33"/>
  <c r="BA24" i="33"/>
  <c r="BA18" i="33"/>
  <c r="BA16" i="33"/>
  <c r="BA14" i="33"/>
  <c r="BA12" i="33"/>
  <c r="C24" i="42"/>
  <c r="E24" i="42" s="1"/>
  <c r="Q2" i="5"/>
  <c r="Q1" i="5"/>
  <c r="O1" i="5"/>
  <c r="M2" i="5"/>
  <c r="M1" i="5"/>
  <c r="J25" i="35"/>
  <c r="O2" i="5"/>
  <c r="J56" i="25"/>
  <c r="J52" i="25"/>
  <c r="J49" i="25"/>
  <c r="J42" i="25"/>
  <c r="J23" i="25"/>
  <c r="J18" i="25"/>
  <c r="J14" i="25"/>
  <c r="J5" i="25"/>
  <c r="E26" i="25"/>
  <c r="J26" i="25"/>
  <c r="D26" i="25"/>
  <c r="K57" i="25"/>
  <c r="K25" i="25"/>
  <c r="E40" i="25"/>
  <c r="F40" i="25"/>
  <c r="G40" i="25"/>
  <c r="H40" i="25"/>
  <c r="I40" i="25"/>
  <c r="J40" i="25"/>
  <c r="E41" i="25"/>
  <c r="F41" i="25"/>
  <c r="G41" i="25"/>
  <c r="H41" i="25"/>
  <c r="I41" i="25"/>
  <c r="J41" i="25"/>
  <c r="D40" i="25"/>
  <c r="D41" i="25"/>
  <c r="D49" i="25"/>
  <c r="D52" i="25"/>
  <c r="D14" i="25"/>
  <c r="D18" i="25"/>
  <c r="C55" i="25"/>
  <c r="F52" i="25"/>
  <c r="E52" i="25"/>
  <c r="I49" i="25"/>
  <c r="G49" i="25"/>
  <c r="F49" i="25"/>
  <c r="E49" i="25"/>
  <c r="I18" i="25"/>
  <c r="H18" i="25"/>
  <c r="F18" i="25"/>
  <c r="E18" i="25"/>
  <c r="I17" i="25"/>
  <c r="I14" i="25" s="1"/>
  <c r="G17" i="25"/>
  <c r="G14" i="25" s="1"/>
  <c r="F17" i="25"/>
  <c r="F14" i="25" s="1"/>
  <c r="E14" i="25"/>
  <c r="K1" i="25"/>
  <c r="W1" i="9"/>
  <c r="S6" i="9"/>
  <c r="U6" i="9"/>
  <c r="V6" i="9" s="1"/>
  <c r="S7" i="9"/>
  <c r="U7" i="9" s="1"/>
  <c r="V7" i="9" s="1"/>
  <c r="S8" i="9"/>
  <c r="U8" i="9" s="1"/>
  <c r="V8" i="9" s="1"/>
  <c r="S9" i="9"/>
  <c r="U9" i="9" s="1"/>
  <c r="V9" i="9" s="1"/>
  <c r="N15" i="9"/>
  <c r="O15" i="9" s="1"/>
  <c r="N16" i="9"/>
  <c r="O16" i="9" s="1"/>
  <c r="N17" i="9"/>
  <c r="O17" i="9" s="1"/>
  <c r="N18" i="9"/>
  <c r="O18" i="9"/>
  <c r="H7" i="13"/>
  <c r="H16" i="13"/>
  <c r="N16" i="13"/>
  <c r="G18" i="13"/>
  <c r="H21" i="13"/>
  <c r="K35" i="13"/>
  <c r="M35" i="13" s="1"/>
  <c r="I36" i="13"/>
  <c r="K36" i="13" s="1"/>
  <c r="L36" i="13"/>
  <c r="N37" i="13"/>
  <c r="K2" i="5"/>
  <c r="V1" i="5"/>
  <c r="A7" i="5"/>
  <c r="C35" i="5" s="1"/>
  <c r="C41" i="5" s="1"/>
  <c r="C7" i="5"/>
  <c r="C42" i="5" s="1"/>
  <c r="A8" i="5"/>
  <c r="E35" i="5" s="1"/>
  <c r="E41" i="5" s="1"/>
  <c r="A9" i="5"/>
  <c r="G35" i="5" s="1"/>
  <c r="G41" i="5" s="1"/>
  <c r="C9" i="5"/>
  <c r="E9" i="5" s="1"/>
  <c r="N21" i="13"/>
  <c r="D5" i="25"/>
  <c r="D27" i="25" s="1"/>
  <c r="D42" i="25"/>
  <c r="E42" i="25"/>
  <c r="E5" i="25"/>
  <c r="E27" i="25" s="1"/>
  <c r="C8" i="5"/>
  <c r="E8" i="5" s="1"/>
  <c r="T67" i="33"/>
  <c r="C36" i="42"/>
  <c r="E36" i="42" s="1"/>
  <c r="H36" i="42" s="1"/>
  <c r="P68" i="33"/>
  <c r="J40" i="35"/>
  <c r="I7" i="35"/>
  <c r="C24" i="35"/>
  <c r="E24" i="35" s="1"/>
  <c r="C25" i="35"/>
  <c r="E25" i="35" s="1"/>
  <c r="I25" i="35" s="1"/>
  <c r="J34" i="35"/>
  <c r="J37" i="35"/>
  <c r="J22" i="35"/>
  <c r="J24" i="35"/>
  <c r="C25" i="37"/>
  <c r="E25" i="37" s="1"/>
  <c r="C24" i="37"/>
  <c r="E24" i="37" s="1"/>
  <c r="C24" i="40"/>
  <c r="E24" i="40" s="1"/>
  <c r="C40" i="38"/>
  <c r="N44" i="42"/>
  <c r="L68" i="33"/>
  <c r="C34" i="35"/>
  <c r="C35" i="35"/>
  <c r="C34" i="37"/>
  <c r="J14" i="40"/>
  <c r="J15" i="40"/>
  <c r="J14" i="42"/>
  <c r="J15" i="42"/>
  <c r="J16" i="42"/>
  <c r="J17" i="42"/>
  <c r="J31" i="42"/>
  <c r="J40" i="42"/>
  <c r="J16" i="40"/>
  <c r="J17" i="40"/>
  <c r="J31" i="40"/>
  <c r="D39" i="35"/>
  <c r="D39" i="37"/>
  <c r="D39" i="42"/>
  <c r="G22" i="25"/>
  <c r="K22" i="25" s="1"/>
  <c r="L5" i="42" l="1"/>
  <c r="E31" i="13"/>
  <c r="E25" i="13"/>
  <c r="H25" i="13" s="1"/>
  <c r="C31" i="35"/>
  <c r="E27" i="13"/>
  <c r="H27" i="13" s="1"/>
  <c r="C38" i="35"/>
  <c r="E38" i="35" s="1"/>
  <c r="H38" i="35" s="1"/>
  <c r="C39" i="37"/>
  <c r="E31" i="35"/>
  <c r="H31" i="35" s="1"/>
  <c r="G24" i="40"/>
  <c r="I24" i="40"/>
  <c r="L24" i="40" s="1"/>
  <c r="N24" i="40" s="1"/>
  <c r="I24" i="37"/>
  <c r="L24" i="37" s="1"/>
  <c r="N24" i="37" s="1"/>
  <c r="G24" i="37"/>
  <c r="I24" i="35"/>
  <c r="L24" i="35" s="1"/>
  <c r="N24" i="35" s="1"/>
  <c r="G24" i="35"/>
  <c r="C38" i="42"/>
  <c r="E38" i="42" s="1"/>
  <c r="H38" i="42" s="1"/>
  <c r="C35" i="42"/>
  <c r="E35" i="42" s="1"/>
  <c r="H35" i="42" s="1"/>
  <c r="C35" i="37"/>
  <c r="E35" i="37" s="1"/>
  <c r="H35" i="37" s="1"/>
  <c r="C38" i="37"/>
  <c r="E38" i="37" s="1"/>
  <c r="H38" i="37" s="1"/>
  <c r="C32" i="42"/>
  <c r="E32" i="42" s="1"/>
  <c r="H32" i="42" s="1"/>
  <c r="D58" i="25"/>
  <c r="D63" i="25" s="1"/>
  <c r="C39" i="42"/>
  <c r="C39" i="40"/>
  <c r="E39" i="40" s="1"/>
  <c r="H39" i="40" s="1"/>
  <c r="C32" i="37"/>
  <c r="E32" i="37" s="1"/>
  <c r="H32" i="37" s="1"/>
  <c r="E23" i="38"/>
  <c r="C26" i="37"/>
  <c r="E26" i="37" s="1"/>
  <c r="G26" i="37" s="1"/>
  <c r="L7" i="35"/>
  <c r="O7" i="35" s="1"/>
  <c r="E58" i="25"/>
  <c r="E63" i="25" s="1"/>
  <c r="C38" i="40"/>
  <c r="E38" i="40" s="1"/>
  <c r="H38" i="40" s="1"/>
  <c r="C32" i="40"/>
  <c r="E32" i="40" s="1"/>
  <c r="H32" i="40" s="1"/>
  <c r="C14" i="37"/>
  <c r="E14" i="37" s="1"/>
  <c r="I14" i="37" s="1"/>
  <c r="C23" i="38"/>
  <c r="I23" i="38" s="1"/>
  <c r="C31" i="40"/>
  <c r="E31" i="40" s="1"/>
  <c r="H31" i="40" s="1"/>
  <c r="E30" i="13"/>
  <c r="H30" i="13" s="1"/>
  <c r="C31" i="37"/>
  <c r="E31" i="37" s="1"/>
  <c r="H31" i="37" s="1"/>
  <c r="G14" i="38"/>
  <c r="I7" i="13"/>
  <c r="E37" i="42"/>
  <c r="H37" i="42" s="1"/>
  <c r="F30" i="36"/>
  <c r="E42" i="5"/>
  <c r="L67" i="33"/>
  <c r="E34" i="35"/>
  <c r="H34" i="35" s="1"/>
  <c r="E37" i="40"/>
  <c r="H37" i="40" s="1"/>
  <c r="C26" i="42"/>
  <c r="E26" i="42" s="1"/>
  <c r="G26" i="42" s="1"/>
  <c r="E32" i="35"/>
  <c r="H32" i="35" s="1"/>
  <c r="E34" i="37"/>
  <c r="H34" i="37" s="1"/>
  <c r="F30" i="39"/>
  <c r="E37" i="37"/>
  <c r="H37" i="37" s="1"/>
  <c r="E35" i="35"/>
  <c r="H35" i="35" s="1"/>
  <c r="E35" i="40"/>
  <c r="H35" i="40" s="1"/>
  <c r="L10" i="42"/>
  <c r="G17" i="40"/>
  <c r="I17" i="40"/>
  <c r="L17" i="40" s="1"/>
  <c r="N17" i="40" s="1"/>
  <c r="G42" i="5"/>
  <c r="N46" i="37"/>
  <c r="E39" i="42"/>
  <c r="H39" i="42" s="1"/>
  <c r="H40" i="35"/>
  <c r="E34" i="40"/>
  <c r="H34" i="40" s="1"/>
  <c r="G17" i="42"/>
  <c r="I17" i="42"/>
  <c r="L17" i="42" s="1"/>
  <c r="N17" i="42" s="1"/>
  <c r="E37" i="35"/>
  <c r="H37" i="35" s="1"/>
  <c r="H40" i="40"/>
  <c r="I40" i="40"/>
  <c r="L40" i="40" s="1"/>
  <c r="O40" i="40" s="1"/>
  <c r="E31" i="42"/>
  <c r="H31" i="42" s="1"/>
  <c r="F30" i="41"/>
  <c r="L10" i="40"/>
  <c r="I17" i="35"/>
  <c r="L17" i="35" s="1"/>
  <c r="N17" i="35" s="1"/>
  <c r="L46" i="37"/>
  <c r="L5" i="40"/>
  <c r="I7" i="37"/>
  <c r="L7" i="37" s="1"/>
  <c r="O7" i="37" s="1"/>
  <c r="H7" i="42"/>
  <c r="G13" i="36"/>
  <c r="G14" i="36" s="1"/>
  <c r="AB69" i="33"/>
  <c r="U46" i="33" s="1"/>
  <c r="V48" i="33" s="1"/>
  <c r="L7" i="40"/>
  <c r="O7" i="40" s="1"/>
  <c r="E39" i="37"/>
  <c r="H39" i="37" s="1"/>
  <c r="L7" i="42"/>
  <c r="O7" i="42" s="1"/>
  <c r="C11" i="5"/>
  <c r="C12" i="5" s="1"/>
  <c r="C39" i="35"/>
  <c r="E39" i="35" s="1"/>
  <c r="H39" i="35" s="1"/>
  <c r="E7" i="5"/>
  <c r="J27" i="25"/>
  <c r="G11" i="25"/>
  <c r="I11" i="25"/>
  <c r="E24" i="13"/>
  <c r="H24" i="13" s="1"/>
  <c r="F8" i="25"/>
  <c r="K8" i="25" s="1"/>
  <c r="I14" i="13"/>
  <c r="G14" i="13"/>
  <c r="H16" i="25"/>
  <c r="K16" i="25" s="1"/>
  <c r="F43" i="25"/>
  <c r="K37" i="13"/>
  <c r="M36" i="13"/>
  <c r="M37" i="13" s="1"/>
  <c r="J58" i="25"/>
  <c r="J63" i="25" s="1"/>
  <c r="C28" i="37"/>
  <c r="E28" i="37" s="1"/>
  <c r="C28" i="40"/>
  <c r="E28" i="40" s="1"/>
  <c r="C28" i="42"/>
  <c r="E28" i="42" s="1"/>
  <c r="C28" i="35"/>
  <c r="E28" i="35" s="1"/>
  <c r="I40" i="37"/>
  <c r="L40" i="37" s="1"/>
  <c r="O40" i="37" s="1"/>
  <c r="H40" i="37"/>
  <c r="I40" i="42"/>
  <c r="L40" i="42" s="1"/>
  <c r="O40" i="42" s="1"/>
  <c r="H40" i="42"/>
  <c r="N45" i="35"/>
  <c r="N46" i="35" s="1"/>
  <c r="L46" i="35"/>
  <c r="I57" i="38"/>
  <c r="N45" i="40"/>
  <c r="N46" i="40" s="1"/>
  <c r="L46" i="40"/>
  <c r="I40" i="38"/>
  <c r="G17" i="37"/>
  <c r="I17" i="37"/>
  <c r="L17" i="37" s="1"/>
  <c r="N17" i="37" s="1"/>
  <c r="G14" i="37"/>
  <c r="G24" i="42"/>
  <c r="I24" i="42"/>
  <c r="L24" i="42" s="1"/>
  <c r="N24" i="42" s="1"/>
  <c r="L40" i="35"/>
  <c r="O40" i="35" s="1"/>
  <c r="C15" i="37"/>
  <c r="E15" i="37" s="1"/>
  <c r="C15" i="42"/>
  <c r="E15" i="42" s="1"/>
  <c r="C15" i="40"/>
  <c r="E15" i="40" s="1"/>
  <c r="C15" i="35"/>
  <c r="E15" i="35" s="1"/>
  <c r="C14" i="40"/>
  <c r="E14" i="40" s="1"/>
  <c r="C14" i="42"/>
  <c r="E14" i="42" s="1"/>
  <c r="I6" i="38"/>
  <c r="C36" i="37"/>
  <c r="E36" i="37" s="1"/>
  <c r="C36" i="35"/>
  <c r="E36" i="35" s="1"/>
  <c r="C36" i="40"/>
  <c r="E36" i="40" s="1"/>
  <c r="H36" i="40" s="1"/>
  <c r="D12" i="46"/>
  <c r="F12" i="46" s="1"/>
  <c r="L25" i="35"/>
  <c r="N25" i="35" s="1"/>
  <c r="E15" i="36"/>
  <c r="E15" i="39"/>
  <c r="E11" i="38"/>
  <c r="G65" i="38"/>
  <c r="J27" i="42"/>
  <c r="C34" i="42"/>
  <c r="E34" i="42" s="1"/>
  <c r="N45" i="42"/>
  <c r="N46" i="42" s="1"/>
  <c r="P2" i="46"/>
  <c r="D9" i="46"/>
  <c r="G48" i="38"/>
  <c r="J23" i="42"/>
  <c r="E15" i="41"/>
  <c r="C25" i="40"/>
  <c r="E25" i="40" s="1"/>
  <c r="H6" i="41"/>
  <c r="H6" i="36"/>
  <c r="G25" i="35"/>
  <c r="C26" i="35"/>
  <c r="E26" i="35" s="1"/>
  <c r="I25" i="37"/>
  <c r="L25" i="37" s="1"/>
  <c r="N25" i="37" s="1"/>
  <c r="G25" i="37"/>
  <c r="G25" i="42"/>
  <c r="I25" i="42"/>
  <c r="L25" i="42" s="1"/>
  <c r="N25" i="42" s="1"/>
  <c r="H6" i="39"/>
  <c r="K14" i="13" l="1"/>
  <c r="M14" i="13" s="1"/>
  <c r="K7" i="13"/>
  <c r="F45" i="25" s="1"/>
  <c r="K45" i="25" s="1"/>
  <c r="G34" i="13"/>
  <c r="H31" i="13"/>
  <c r="E20" i="42"/>
  <c r="G20" i="42" s="1"/>
  <c r="E20" i="40"/>
  <c r="C21" i="40" s="1"/>
  <c r="E21" i="40" s="1"/>
  <c r="G21" i="40" s="1"/>
  <c r="E20" i="35"/>
  <c r="G20" i="35" s="1"/>
  <c r="G19" i="25"/>
  <c r="E20" i="37"/>
  <c r="G20" i="37" s="1"/>
  <c r="I29" i="13"/>
  <c r="K29" i="13" s="1"/>
  <c r="P67" i="33"/>
  <c r="E26" i="13"/>
  <c r="H26" i="13" s="1"/>
  <c r="E23" i="13"/>
  <c r="H23" i="13" s="1"/>
  <c r="M34" i="13"/>
  <c r="E22" i="13"/>
  <c r="K42" i="5"/>
  <c r="I34" i="40"/>
  <c r="L34" i="40" s="1"/>
  <c r="O34" i="40" s="1"/>
  <c r="I37" i="42"/>
  <c r="L37" i="42" s="1"/>
  <c r="O37" i="42" s="1"/>
  <c r="E11" i="5"/>
  <c r="E12" i="5" s="1"/>
  <c r="C33" i="42"/>
  <c r="E33" i="42" s="1"/>
  <c r="H33" i="42" s="1"/>
  <c r="I31" i="42" s="1"/>
  <c r="L31" i="42" s="1"/>
  <c r="O31" i="42" s="1"/>
  <c r="C33" i="40"/>
  <c r="E33" i="40" s="1"/>
  <c r="H33" i="40" s="1"/>
  <c r="I31" i="40" s="1"/>
  <c r="C33" i="37"/>
  <c r="E33" i="37" s="1"/>
  <c r="H33" i="37" s="1"/>
  <c r="I31" i="37" s="1"/>
  <c r="L31" i="37" s="1"/>
  <c r="C33" i="35"/>
  <c r="E33" i="35" s="1"/>
  <c r="H33" i="35" s="1"/>
  <c r="I31" i="35" s="1"/>
  <c r="L31" i="35" s="1"/>
  <c r="O31" i="35" s="1"/>
  <c r="I13" i="13"/>
  <c r="K13" i="13" s="1"/>
  <c r="I26" i="37"/>
  <c r="L26" i="37" s="1"/>
  <c r="N26" i="37" s="1"/>
  <c r="C14" i="35"/>
  <c r="E14" i="35" s="1"/>
  <c r="G14" i="35" s="1"/>
  <c r="I37" i="40"/>
  <c r="L37" i="40" s="1"/>
  <c r="O37" i="40" s="1"/>
  <c r="I26" i="42"/>
  <c r="L26" i="42" s="1"/>
  <c r="N26" i="42" s="1"/>
  <c r="V50" i="33"/>
  <c r="AF50" i="33" s="1"/>
  <c r="AM50" i="33" s="1"/>
  <c r="V52" i="33"/>
  <c r="AF52" i="33" s="1"/>
  <c r="AM52" i="33" s="1"/>
  <c r="C26" i="40"/>
  <c r="E26" i="40" s="1"/>
  <c r="G26" i="40" s="1"/>
  <c r="G13" i="41"/>
  <c r="G14" i="41" s="1"/>
  <c r="I37" i="35"/>
  <c r="L37" i="35" s="1"/>
  <c r="O37" i="35" s="1"/>
  <c r="I37" i="37"/>
  <c r="L37" i="37" s="1"/>
  <c r="O37" i="37" s="1"/>
  <c r="G13" i="39"/>
  <c r="G14" i="39" s="1"/>
  <c r="K11" i="25"/>
  <c r="I48" i="25"/>
  <c r="G48" i="25"/>
  <c r="H51" i="25"/>
  <c r="K51" i="25" s="1"/>
  <c r="C16" i="35"/>
  <c r="E16" i="35" s="1"/>
  <c r="C16" i="42"/>
  <c r="E16" i="42" s="1"/>
  <c r="C18" i="42" s="1"/>
  <c r="E18" i="42" s="1"/>
  <c r="G18" i="42" s="1"/>
  <c r="C16" i="37"/>
  <c r="E16" i="37" s="1"/>
  <c r="C16" i="40"/>
  <c r="E16" i="40" s="1"/>
  <c r="H36" i="35"/>
  <c r="I14" i="42"/>
  <c r="G14" i="42"/>
  <c r="K43" i="25"/>
  <c r="L14" i="37"/>
  <c r="I28" i="42"/>
  <c r="L28" i="42" s="1"/>
  <c r="N28" i="42" s="1"/>
  <c r="G28" i="42"/>
  <c r="H34" i="42"/>
  <c r="H36" i="37"/>
  <c r="C18" i="40"/>
  <c r="E18" i="40" s="1"/>
  <c r="G18" i="40" s="1"/>
  <c r="I14" i="40"/>
  <c r="G14" i="40"/>
  <c r="AF48" i="33"/>
  <c r="G28" i="40"/>
  <c r="I28" i="40"/>
  <c r="L28" i="40" s="1"/>
  <c r="N28" i="40" s="1"/>
  <c r="G15" i="35"/>
  <c r="I15" i="35"/>
  <c r="L15" i="35" s="1"/>
  <c r="N15" i="35" s="1"/>
  <c r="G28" i="37"/>
  <c r="I28" i="37"/>
  <c r="L28" i="37" s="1"/>
  <c r="N28" i="37" s="1"/>
  <c r="E30" i="41"/>
  <c r="H15" i="41"/>
  <c r="E17" i="41"/>
  <c r="X65" i="33"/>
  <c r="F9" i="46"/>
  <c r="F13" i="46" s="1"/>
  <c r="D13" i="46"/>
  <c r="I15" i="40"/>
  <c r="L15" i="40" s="1"/>
  <c r="N15" i="40" s="1"/>
  <c r="G15" i="40"/>
  <c r="G25" i="40"/>
  <c r="I25" i="40"/>
  <c r="L25" i="40" s="1"/>
  <c r="N25" i="40" s="1"/>
  <c r="G15" i="42"/>
  <c r="I15" i="42"/>
  <c r="L15" i="42" s="1"/>
  <c r="N15" i="42" s="1"/>
  <c r="C27" i="40"/>
  <c r="E27" i="40" s="1"/>
  <c r="C27" i="42"/>
  <c r="E27" i="42" s="1"/>
  <c r="C27" i="37"/>
  <c r="E27" i="37" s="1"/>
  <c r="C27" i="35"/>
  <c r="E27" i="35" s="1"/>
  <c r="E17" i="39"/>
  <c r="E30" i="39"/>
  <c r="H15" i="39"/>
  <c r="E17" i="36"/>
  <c r="E30" i="36"/>
  <c r="H15" i="36"/>
  <c r="G15" i="37"/>
  <c r="I15" i="37"/>
  <c r="L15" i="37" s="1"/>
  <c r="N15" i="37" s="1"/>
  <c r="C18" i="37"/>
  <c r="E18" i="37" s="1"/>
  <c r="G18" i="37" s="1"/>
  <c r="G28" i="35"/>
  <c r="I28" i="35"/>
  <c r="L28" i="35" s="1"/>
  <c r="N28" i="35" s="1"/>
  <c r="C21" i="37"/>
  <c r="E21" i="37" s="1"/>
  <c r="G21" i="37" s="1"/>
  <c r="I26" i="35"/>
  <c r="L26" i="35" s="1"/>
  <c r="G26" i="35"/>
  <c r="G20" i="40"/>
  <c r="C21" i="42" l="1"/>
  <c r="E21" i="42" s="1"/>
  <c r="G21" i="42" s="1"/>
  <c r="N7" i="13"/>
  <c r="I25" i="13"/>
  <c r="K25" i="13" s="1"/>
  <c r="N25" i="13" s="1"/>
  <c r="H22" i="13"/>
  <c r="I22" i="13" s="1"/>
  <c r="C32" i="13"/>
  <c r="E32" i="13" s="1"/>
  <c r="C33" i="13" s="1"/>
  <c r="C21" i="35"/>
  <c r="E21" i="35" s="1"/>
  <c r="G21" i="35" s="1"/>
  <c r="G17" i="13"/>
  <c r="I14" i="35"/>
  <c r="N29" i="13"/>
  <c r="T68" i="33"/>
  <c r="X68" i="33"/>
  <c r="C42" i="35"/>
  <c r="E42" i="35" s="1"/>
  <c r="H42" i="35" s="1"/>
  <c r="I26" i="40"/>
  <c r="L26" i="40" s="1"/>
  <c r="N26" i="40" s="1"/>
  <c r="H15" i="25"/>
  <c r="K15" i="25" s="1"/>
  <c r="G13" i="13"/>
  <c r="C42" i="42"/>
  <c r="E42" i="42" s="1"/>
  <c r="H42" i="42" s="1"/>
  <c r="H43" i="42" s="1"/>
  <c r="H10" i="45"/>
  <c r="H12" i="45" s="1"/>
  <c r="J17" i="45" s="1"/>
  <c r="H4" i="45"/>
  <c r="H6" i="45" s="1"/>
  <c r="J15" i="45" s="1"/>
  <c r="C42" i="40"/>
  <c r="E42" i="40" s="1"/>
  <c r="H42" i="40" s="1"/>
  <c r="H43" i="40" s="1"/>
  <c r="C42" i="37"/>
  <c r="E42" i="37" s="1"/>
  <c r="H42" i="37" s="1"/>
  <c r="H43" i="37" s="1"/>
  <c r="V54" i="33"/>
  <c r="E19" i="42"/>
  <c r="K48" i="25"/>
  <c r="E43" i="35"/>
  <c r="E15" i="13"/>
  <c r="G15" i="13" s="1"/>
  <c r="G27" i="35"/>
  <c r="I27" i="35"/>
  <c r="L27" i="35" s="1"/>
  <c r="N27" i="35" s="1"/>
  <c r="G16" i="35"/>
  <c r="I16" i="35"/>
  <c r="L16" i="35" s="1"/>
  <c r="N16" i="35" s="1"/>
  <c r="I27" i="37"/>
  <c r="L27" i="37" s="1"/>
  <c r="N27" i="37" s="1"/>
  <c r="G27" i="37"/>
  <c r="P66" i="33"/>
  <c r="P69" i="33" s="1"/>
  <c r="U10" i="33" s="1"/>
  <c r="E19" i="40"/>
  <c r="I34" i="42"/>
  <c r="X66" i="33"/>
  <c r="E21" i="41"/>
  <c r="E21" i="39"/>
  <c r="E21" i="36"/>
  <c r="N14" i="37"/>
  <c r="G27" i="42"/>
  <c r="I27" i="42"/>
  <c r="L27" i="42" s="1"/>
  <c r="N27" i="42" s="1"/>
  <c r="H17" i="41"/>
  <c r="E18" i="41" s="1"/>
  <c r="L14" i="40"/>
  <c r="I34" i="35"/>
  <c r="H43" i="35"/>
  <c r="E19" i="37"/>
  <c r="L14" i="42"/>
  <c r="M13" i="13"/>
  <c r="C18" i="35"/>
  <c r="E18" i="35" s="1"/>
  <c r="G18" i="35" s="1"/>
  <c r="O31" i="37"/>
  <c r="E6" i="40"/>
  <c r="E6" i="37"/>
  <c r="E6" i="35"/>
  <c r="E6" i="42"/>
  <c r="I27" i="40"/>
  <c r="L27" i="40" s="1"/>
  <c r="N27" i="40" s="1"/>
  <c r="G27" i="40"/>
  <c r="T66" i="33"/>
  <c r="I19" i="35"/>
  <c r="L14" i="35"/>
  <c r="G20" i="13"/>
  <c r="G21" i="25"/>
  <c r="K21" i="25" s="1"/>
  <c r="I16" i="40"/>
  <c r="L16" i="40" s="1"/>
  <c r="N16" i="40" s="1"/>
  <c r="G16" i="40"/>
  <c r="G19" i="40" s="1"/>
  <c r="AM48" i="33"/>
  <c r="AK54" i="33" s="1"/>
  <c r="AF54" i="33"/>
  <c r="I34" i="37"/>
  <c r="G16" i="37"/>
  <c r="G19" i="37" s="1"/>
  <c r="I16" i="37"/>
  <c r="L16" i="37" s="1"/>
  <c r="N16" i="37" s="1"/>
  <c r="E8" i="42"/>
  <c r="E8" i="35"/>
  <c r="E8" i="37"/>
  <c r="E8" i="40"/>
  <c r="H17" i="36"/>
  <c r="E18" i="36" s="1"/>
  <c r="I43" i="40"/>
  <c r="L31" i="40"/>
  <c r="H17" i="39"/>
  <c r="E18" i="39" s="1"/>
  <c r="I16" i="42"/>
  <c r="L16" i="42" s="1"/>
  <c r="N16" i="42" s="1"/>
  <c r="G16" i="42"/>
  <c r="G19" i="42" s="1"/>
  <c r="N26" i="35"/>
  <c r="K19" i="25"/>
  <c r="K22" i="13" l="1"/>
  <c r="N22" i="13" s="1"/>
  <c r="T69" i="33"/>
  <c r="U22" i="33" s="1"/>
  <c r="X69" i="33"/>
  <c r="U34" i="33" s="1"/>
  <c r="V36" i="33" s="1"/>
  <c r="M16" i="13"/>
  <c r="I34" i="13"/>
  <c r="E33" i="13"/>
  <c r="H33" i="13" s="1"/>
  <c r="H32" i="13"/>
  <c r="H17" i="25"/>
  <c r="K17" i="25" s="1"/>
  <c r="E43" i="37"/>
  <c r="E43" i="42"/>
  <c r="E43" i="40"/>
  <c r="I19" i="40"/>
  <c r="I19" i="37"/>
  <c r="E19" i="35"/>
  <c r="N19" i="37"/>
  <c r="G19" i="35"/>
  <c r="E16" i="13"/>
  <c r="G16" i="13"/>
  <c r="I16" i="13"/>
  <c r="J19" i="45"/>
  <c r="J18" i="45"/>
  <c r="E23" i="35"/>
  <c r="C23" i="42"/>
  <c r="E23" i="37"/>
  <c r="C23" i="37"/>
  <c r="C23" i="35"/>
  <c r="C23" i="40"/>
  <c r="E23" i="42"/>
  <c r="E23" i="40"/>
  <c r="I8" i="40"/>
  <c r="L8" i="40" s="1"/>
  <c r="O8" i="40" s="1"/>
  <c r="H8" i="40"/>
  <c r="N14" i="42"/>
  <c r="N19" i="42" s="1"/>
  <c r="L19" i="42"/>
  <c r="I8" i="37"/>
  <c r="L8" i="37" s="1"/>
  <c r="O8" i="37" s="1"/>
  <c r="H8" i="37"/>
  <c r="L34" i="37"/>
  <c r="I43" i="37"/>
  <c r="I6" i="42"/>
  <c r="H6" i="42"/>
  <c r="I19" i="42"/>
  <c r="D18" i="41"/>
  <c r="F18" i="41"/>
  <c r="G18" i="41"/>
  <c r="L19" i="37"/>
  <c r="L34" i="42"/>
  <c r="I43" i="42"/>
  <c r="G18" i="39"/>
  <c r="D18" i="39"/>
  <c r="F18" i="39"/>
  <c r="H8" i="35"/>
  <c r="I8" i="35"/>
  <c r="L8" i="35" s="1"/>
  <c r="O8" i="35" s="1"/>
  <c r="I6" i="35"/>
  <c r="H6" i="35"/>
  <c r="O31" i="40"/>
  <c r="O43" i="40" s="1"/>
  <c r="L43" i="40"/>
  <c r="H8" i="42"/>
  <c r="I8" i="42"/>
  <c r="L8" i="42" s="1"/>
  <c r="O8" i="42" s="1"/>
  <c r="D13" i="41"/>
  <c r="D21" i="41"/>
  <c r="D13" i="36"/>
  <c r="D13" i="39"/>
  <c r="D21" i="39"/>
  <c r="D21" i="36"/>
  <c r="H6" i="37"/>
  <c r="I6" i="37"/>
  <c r="V24" i="33"/>
  <c r="V26" i="33"/>
  <c r="AF26" i="33" s="1"/>
  <c r="AM26" i="33" s="1"/>
  <c r="V28" i="33"/>
  <c r="AF28" i="33" s="1"/>
  <c r="AM28" i="33" s="1"/>
  <c r="V12" i="33"/>
  <c r="V14" i="33"/>
  <c r="AF14" i="33" s="1"/>
  <c r="AM14" i="33" s="1"/>
  <c r="V16" i="33"/>
  <c r="AF16" i="33" s="1"/>
  <c r="AM16" i="33" s="1"/>
  <c r="G18" i="36"/>
  <c r="F18" i="36"/>
  <c r="D18" i="36"/>
  <c r="E13" i="36"/>
  <c r="E14" i="36" s="1"/>
  <c r="E13" i="39"/>
  <c r="E14" i="39" s="1"/>
  <c r="E13" i="41"/>
  <c r="E14" i="41" s="1"/>
  <c r="L19" i="35"/>
  <c r="N14" i="35"/>
  <c r="N19" i="35" s="1"/>
  <c r="H7" i="39"/>
  <c r="G48" i="39" s="1"/>
  <c r="H7" i="41"/>
  <c r="G48" i="41" s="1"/>
  <c r="C22" i="35"/>
  <c r="I22" i="35" s="1"/>
  <c r="C22" i="40"/>
  <c r="I22" i="40" s="1"/>
  <c r="C22" i="42"/>
  <c r="I22" i="42" s="1"/>
  <c r="C22" i="37"/>
  <c r="I22" i="37" s="1"/>
  <c r="H7" i="36"/>
  <c r="G48" i="36" s="1"/>
  <c r="F13" i="39"/>
  <c r="F14" i="39" s="1"/>
  <c r="F13" i="41"/>
  <c r="F14" i="41" s="1"/>
  <c r="F13" i="36"/>
  <c r="F14" i="36" s="1"/>
  <c r="F21" i="41"/>
  <c r="F21" i="39"/>
  <c r="F21" i="36"/>
  <c r="G55" i="25"/>
  <c r="K55" i="25" s="1"/>
  <c r="I6" i="40"/>
  <c r="H6" i="40"/>
  <c r="H50" i="25"/>
  <c r="K16" i="13"/>
  <c r="L34" i="35"/>
  <c r="I43" i="35"/>
  <c r="L19" i="40"/>
  <c r="N14" i="40"/>
  <c r="N19" i="40" s="1"/>
  <c r="F50" i="13" l="1"/>
  <c r="V40" i="33"/>
  <c r="AF40" i="33" s="1"/>
  <c r="AM40" i="33" s="1"/>
  <c r="V38" i="33"/>
  <c r="AF38" i="33" s="1"/>
  <c r="AM38" i="33" s="1"/>
  <c r="H14" i="25"/>
  <c r="K14" i="25" s="1"/>
  <c r="C19" i="5"/>
  <c r="H34" i="13"/>
  <c r="E34" i="13"/>
  <c r="F52" i="13" s="1"/>
  <c r="D20" i="46"/>
  <c r="H18" i="41"/>
  <c r="H18" i="36"/>
  <c r="H18" i="39"/>
  <c r="K32" i="46"/>
  <c r="AG12" i="46" s="1"/>
  <c r="J31" i="5"/>
  <c r="AF11" i="5" s="1"/>
  <c r="AF12" i="33"/>
  <c r="V18" i="33"/>
  <c r="H13" i="36"/>
  <c r="H14" i="36" s="1"/>
  <c r="D14" i="36"/>
  <c r="E21" i="13"/>
  <c r="G20" i="25"/>
  <c r="G19" i="13"/>
  <c r="G21" i="13" s="1"/>
  <c r="I23" i="37"/>
  <c r="L23" i="37" s="1"/>
  <c r="N23" i="37" s="1"/>
  <c r="G23" i="37"/>
  <c r="C29" i="37"/>
  <c r="E29" i="37" s="1"/>
  <c r="G29" i="37" s="1"/>
  <c r="L22" i="42"/>
  <c r="H21" i="41"/>
  <c r="D22" i="41" s="1"/>
  <c r="O34" i="37"/>
  <c r="O43" i="37" s="1"/>
  <c r="L43" i="37"/>
  <c r="I23" i="40"/>
  <c r="L23" i="40" s="1"/>
  <c r="N23" i="40" s="1"/>
  <c r="G23" i="40"/>
  <c r="C29" i="40"/>
  <c r="E29" i="40" s="1"/>
  <c r="L22" i="40"/>
  <c r="I56" i="25"/>
  <c r="H13" i="41"/>
  <c r="H14" i="41" s="1"/>
  <c r="D14" i="41"/>
  <c r="I23" i="42"/>
  <c r="L23" i="42" s="1"/>
  <c r="N23" i="42" s="1"/>
  <c r="C29" i="42"/>
  <c r="E29" i="42" s="1"/>
  <c r="G29" i="42" s="1"/>
  <c r="G23" i="42"/>
  <c r="AF36" i="33"/>
  <c r="AF24" i="33"/>
  <c r="V30" i="33"/>
  <c r="H21" i="36"/>
  <c r="F22" i="36" s="1"/>
  <c r="I23" i="35"/>
  <c r="L23" i="35" s="1"/>
  <c r="N23" i="35" s="1"/>
  <c r="G23" i="35"/>
  <c r="C29" i="35"/>
  <c r="E29" i="35" s="1"/>
  <c r="G29" i="35" s="1"/>
  <c r="L6" i="40"/>
  <c r="O34" i="35"/>
  <c r="O43" i="35" s="1"/>
  <c r="L43" i="35"/>
  <c r="I48" i="35"/>
  <c r="L48" i="35" s="1"/>
  <c r="L22" i="35"/>
  <c r="H21" i="39"/>
  <c r="D22" i="39" s="1"/>
  <c r="O34" i="42"/>
  <c r="O43" i="42" s="1"/>
  <c r="L43" i="42"/>
  <c r="AB12" i="5"/>
  <c r="AC13" i="46"/>
  <c r="AB13" i="5"/>
  <c r="AC14" i="46"/>
  <c r="L6" i="37"/>
  <c r="D14" i="39"/>
  <c r="H13" i="39"/>
  <c r="H14" i="39" s="1"/>
  <c r="L6" i="35"/>
  <c r="H49" i="25"/>
  <c r="K49" i="25" s="1"/>
  <c r="K50" i="25"/>
  <c r="L22" i="37"/>
  <c r="I48" i="37"/>
  <c r="L48" i="37" s="1"/>
  <c r="L6" i="42"/>
  <c r="F51" i="13" l="1"/>
  <c r="V42" i="33"/>
  <c r="M21" i="13"/>
  <c r="M43" i="13" s="1"/>
  <c r="K34" i="13"/>
  <c r="N34" i="13"/>
  <c r="H56" i="25"/>
  <c r="K56" i="25" s="1"/>
  <c r="H23" i="25"/>
  <c r="D22" i="46"/>
  <c r="AE12" i="46" s="1"/>
  <c r="I23" i="25"/>
  <c r="C21" i="5"/>
  <c r="AD11" i="5" s="1"/>
  <c r="I30" i="35"/>
  <c r="E30" i="42"/>
  <c r="G30" i="42"/>
  <c r="P5" i="42" s="1"/>
  <c r="G30" i="35"/>
  <c r="P5" i="35" s="1"/>
  <c r="I21" i="13"/>
  <c r="O6" i="42"/>
  <c r="S5" i="42" s="1"/>
  <c r="O6" i="35"/>
  <c r="S5" i="35" s="1"/>
  <c r="AM36" i="33"/>
  <c r="AK42" i="33" s="1"/>
  <c r="AF42" i="33"/>
  <c r="I30" i="40"/>
  <c r="G30" i="37"/>
  <c r="P5" i="37" s="1"/>
  <c r="N22" i="37"/>
  <c r="N30" i="37" s="1"/>
  <c r="R5" i="37" s="1"/>
  <c r="L30" i="37"/>
  <c r="O6" i="37"/>
  <c r="S5" i="37" s="1"/>
  <c r="I54" i="25"/>
  <c r="I52" i="25" s="1"/>
  <c r="H54" i="25"/>
  <c r="K21" i="13"/>
  <c r="I30" i="42"/>
  <c r="G22" i="39"/>
  <c r="E22" i="39"/>
  <c r="N22" i="42"/>
  <c r="N30" i="42" s="1"/>
  <c r="R5" i="42" s="1"/>
  <c r="L30" i="42"/>
  <c r="K20" i="25"/>
  <c r="G18" i="25"/>
  <c r="K18" i="25" s="1"/>
  <c r="O6" i="40"/>
  <c r="S5" i="40" s="1"/>
  <c r="G22" i="36"/>
  <c r="E22" i="36"/>
  <c r="C20" i="5"/>
  <c r="AD10" i="5" s="1"/>
  <c r="D21" i="46"/>
  <c r="AE11" i="46" s="1"/>
  <c r="AF18" i="33"/>
  <c r="AM12" i="33"/>
  <c r="AK18" i="33" s="1"/>
  <c r="I30" i="37"/>
  <c r="D22" i="36"/>
  <c r="G29" i="40"/>
  <c r="G30" i="40" s="1"/>
  <c r="P5" i="40" s="1"/>
  <c r="E30" i="40"/>
  <c r="G22" i="41"/>
  <c r="E22" i="41"/>
  <c r="F22" i="41"/>
  <c r="G53" i="25"/>
  <c r="F22" i="39"/>
  <c r="AM24" i="33"/>
  <c r="AK30" i="33" s="1"/>
  <c r="AF30" i="33"/>
  <c r="N22" i="40"/>
  <c r="N30" i="40" s="1"/>
  <c r="R5" i="40" s="1"/>
  <c r="L30" i="40"/>
  <c r="N22" i="35"/>
  <c r="N30" i="35" s="1"/>
  <c r="R5" i="35" s="1"/>
  <c r="L30" i="35"/>
  <c r="E30" i="37"/>
  <c r="E30" i="35"/>
  <c r="K23" i="25" l="1"/>
  <c r="F7" i="25"/>
  <c r="K7" i="25" s="1"/>
  <c r="H6" i="13"/>
  <c r="I6" i="13"/>
  <c r="R6" i="40"/>
  <c r="S6" i="40" s="1"/>
  <c r="R6" i="37"/>
  <c r="S6" i="37" s="1"/>
  <c r="R6" i="35"/>
  <c r="S6" i="35" s="1"/>
  <c r="H22" i="36"/>
  <c r="H22" i="41"/>
  <c r="H22" i="39"/>
  <c r="H52" i="25"/>
  <c r="K54" i="25"/>
  <c r="AK59" i="33"/>
  <c r="G76" i="33" s="1"/>
  <c r="T76" i="33" s="1"/>
  <c r="T80" i="33" s="1"/>
  <c r="K53" i="25"/>
  <c r="G52" i="25"/>
  <c r="AF59" i="33"/>
  <c r="R6" i="42"/>
  <c r="S6" i="42" s="1"/>
  <c r="K6" i="13" l="1"/>
  <c r="I10" i="25"/>
  <c r="I9" i="13"/>
  <c r="K9" i="13" s="1"/>
  <c r="H9" i="13"/>
  <c r="H10" i="25"/>
  <c r="K52" i="25"/>
  <c r="T81" i="33"/>
  <c r="I8" i="13" l="1"/>
  <c r="E11" i="13"/>
  <c r="G11" i="13" s="1"/>
  <c r="H11" i="13" s="1"/>
  <c r="I9" i="25"/>
  <c r="H9" i="25"/>
  <c r="G9" i="25"/>
  <c r="H8" i="13"/>
  <c r="K10" i="25"/>
  <c r="F44" i="25"/>
  <c r="N6" i="13"/>
  <c r="N9" i="13"/>
  <c r="H47" i="25"/>
  <c r="I47" i="25"/>
  <c r="T82" i="33"/>
  <c r="T83" i="33" s="1"/>
  <c r="K8" i="13" l="1"/>
  <c r="K12" i="13" s="1"/>
  <c r="K39" i="13" s="1"/>
  <c r="K43" i="13" s="1"/>
  <c r="L49" i="13" s="1"/>
  <c r="I12" i="13"/>
  <c r="E12" i="13"/>
  <c r="K9" i="25"/>
  <c r="G12" i="25" s="1"/>
  <c r="G13" i="25" s="1"/>
  <c r="G5" i="25" s="1"/>
  <c r="G27" i="25" s="1"/>
  <c r="G31" i="25" s="1"/>
  <c r="G62" i="25" s="1"/>
  <c r="C11" i="38"/>
  <c r="C45" i="38" s="1"/>
  <c r="C48" i="38" s="1"/>
  <c r="I48" i="38" s="1"/>
  <c r="M38" i="13"/>
  <c r="K47" i="25"/>
  <c r="K44" i="25"/>
  <c r="F42" i="25"/>
  <c r="T85" i="33"/>
  <c r="C18" i="5" l="1"/>
  <c r="AD9" i="5" s="1"/>
  <c r="F49" i="13"/>
  <c r="H46" i="25"/>
  <c r="H42" i="25" s="1"/>
  <c r="H58" i="25" s="1"/>
  <c r="H71" i="25" s="1"/>
  <c r="I46" i="25"/>
  <c r="I42" i="25" s="1"/>
  <c r="I58" i="25" s="1"/>
  <c r="I63" i="25" s="1"/>
  <c r="N8" i="13"/>
  <c r="G46" i="25"/>
  <c r="G42" i="25" s="1"/>
  <c r="G58" i="25" s="1"/>
  <c r="G63" i="25" s="1"/>
  <c r="G64" i="25" s="1"/>
  <c r="G66" i="25" s="1"/>
  <c r="K66" i="25" s="1"/>
  <c r="G12" i="13"/>
  <c r="G39" i="13" s="1"/>
  <c r="H19" i="46"/>
  <c r="AG10" i="46" s="1"/>
  <c r="G18" i="5"/>
  <c r="AF9" i="5" s="1"/>
  <c r="E39" i="13"/>
  <c r="D19" i="46"/>
  <c r="AE10" i="46" s="1"/>
  <c r="G45" i="38"/>
  <c r="C51" i="38" s="1"/>
  <c r="L47" i="37" s="1"/>
  <c r="F12" i="25"/>
  <c r="F13" i="25" s="1"/>
  <c r="I12" i="25"/>
  <c r="I13" i="25" s="1"/>
  <c r="I5" i="25" s="1"/>
  <c r="H12" i="25"/>
  <c r="H13" i="25" s="1"/>
  <c r="H5" i="25" s="1"/>
  <c r="G11" i="38"/>
  <c r="C14" i="38"/>
  <c r="I14" i="38" s="1"/>
  <c r="C62" i="38"/>
  <c r="N38" i="13"/>
  <c r="F58" i="25"/>
  <c r="E9" i="40"/>
  <c r="T87" i="33"/>
  <c r="E9" i="37"/>
  <c r="E9" i="42"/>
  <c r="E9" i="35"/>
  <c r="I71" i="25" l="1"/>
  <c r="I70" i="25"/>
  <c r="I72" i="25"/>
  <c r="H63" i="25"/>
  <c r="K46" i="25"/>
  <c r="H70" i="25"/>
  <c r="G70" i="25"/>
  <c r="K42" i="25"/>
  <c r="G72" i="25"/>
  <c r="H72" i="25"/>
  <c r="G71" i="25"/>
  <c r="C40" i="13"/>
  <c r="E40" i="13" s="1"/>
  <c r="F53" i="13" s="1"/>
  <c r="H32" i="46"/>
  <c r="G31" i="5"/>
  <c r="K12" i="25"/>
  <c r="K13" i="25"/>
  <c r="F5" i="25"/>
  <c r="K5" i="25" s="1"/>
  <c r="C17" i="38"/>
  <c r="L47" i="42" s="1"/>
  <c r="G62" i="38"/>
  <c r="C65" i="38"/>
  <c r="I65" i="38" s="1"/>
  <c r="N12" i="13"/>
  <c r="N43" i="13" s="1"/>
  <c r="H12" i="13"/>
  <c r="H39" i="13" s="1"/>
  <c r="F72" i="25"/>
  <c r="F63" i="25"/>
  <c r="F71" i="25"/>
  <c r="K71" i="25" s="1"/>
  <c r="K58" i="25"/>
  <c r="F70" i="25"/>
  <c r="I9" i="35"/>
  <c r="H9" i="35"/>
  <c r="Q5" i="35" s="1"/>
  <c r="P6" i="35" s="1"/>
  <c r="C12" i="35"/>
  <c r="E12" i="35" s="1"/>
  <c r="E13" i="35" s="1"/>
  <c r="E49" i="35" s="1"/>
  <c r="I9" i="42"/>
  <c r="H9" i="42"/>
  <c r="Q5" i="42" s="1"/>
  <c r="P6" i="42" s="1"/>
  <c r="C12" i="42"/>
  <c r="E12" i="42" s="1"/>
  <c r="E13" i="42" s="1"/>
  <c r="E48" i="42" s="1"/>
  <c r="I9" i="37"/>
  <c r="H9" i="37"/>
  <c r="Q5" i="37" s="1"/>
  <c r="P6" i="37" s="1"/>
  <c r="C12" i="37"/>
  <c r="E12" i="37" s="1"/>
  <c r="E13" i="37" s="1"/>
  <c r="E49" i="37" s="1"/>
  <c r="C50" i="37" s="1"/>
  <c r="E50" i="37" s="1"/>
  <c r="I9" i="40"/>
  <c r="H9" i="40"/>
  <c r="Q5" i="40" s="1"/>
  <c r="P6" i="40" s="1"/>
  <c r="C12" i="40"/>
  <c r="E12" i="40" s="1"/>
  <c r="C28" i="38" s="1"/>
  <c r="K63" i="25" l="1"/>
  <c r="K70" i="25"/>
  <c r="K72" i="25"/>
  <c r="E41" i="13"/>
  <c r="C23" i="5" s="1"/>
  <c r="G40" i="13"/>
  <c r="F24" i="25"/>
  <c r="H24" i="25"/>
  <c r="H26" i="25" s="1"/>
  <c r="I24" i="25"/>
  <c r="I26" i="25" s="1"/>
  <c r="C22" i="5"/>
  <c r="G24" i="25"/>
  <c r="G26" i="25" s="1"/>
  <c r="D23" i="46"/>
  <c r="F27" i="25"/>
  <c r="K27" i="25" s="1"/>
  <c r="G28" i="25" s="1"/>
  <c r="C68" i="38"/>
  <c r="L47" i="35" s="1"/>
  <c r="H27" i="25"/>
  <c r="I27" i="25"/>
  <c r="E13" i="40"/>
  <c r="E48" i="40" s="1"/>
  <c r="C49" i="40" s="1"/>
  <c r="E49" i="40" s="1"/>
  <c r="E50" i="40" s="1"/>
  <c r="E51" i="37"/>
  <c r="G50" i="37"/>
  <c r="C49" i="42"/>
  <c r="E49" i="42" s="1"/>
  <c r="G10" i="37"/>
  <c r="G11" i="37"/>
  <c r="Q6" i="37"/>
  <c r="N10" i="37"/>
  <c r="G5" i="37"/>
  <c r="N5" i="37"/>
  <c r="L9" i="37"/>
  <c r="I13" i="37"/>
  <c r="G10" i="42"/>
  <c r="N5" i="42"/>
  <c r="Q6" i="42"/>
  <c r="G5" i="42"/>
  <c r="N10" i="42"/>
  <c r="G11" i="42"/>
  <c r="L9" i="42"/>
  <c r="I13" i="42"/>
  <c r="C50" i="35"/>
  <c r="E50" i="35" s="1"/>
  <c r="E51" i="35" s="1"/>
  <c r="C31" i="38"/>
  <c r="I31" i="38" s="1"/>
  <c r="G28" i="38"/>
  <c r="Q6" i="40"/>
  <c r="N5" i="40"/>
  <c r="G11" i="40"/>
  <c r="G10" i="40"/>
  <c r="N10" i="40"/>
  <c r="G5" i="40"/>
  <c r="G10" i="35"/>
  <c r="G11" i="35"/>
  <c r="G5" i="35"/>
  <c r="N10" i="35"/>
  <c r="N5" i="35"/>
  <c r="Q6" i="35"/>
  <c r="L9" i="40"/>
  <c r="I13" i="40"/>
  <c r="L9" i="35"/>
  <c r="I13" i="35"/>
  <c r="D24" i="46" l="1"/>
  <c r="G41" i="13"/>
  <c r="H41" i="13" s="1"/>
  <c r="F54" i="13"/>
  <c r="H40" i="13"/>
  <c r="AD13" i="5"/>
  <c r="C42" i="13"/>
  <c r="E42" i="13" s="1"/>
  <c r="G29" i="25" s="1"/>
  <c r="G30" i="25"/>
  <c r="K24" i="25"/>
  <c r="F26" i="25"/>
  <c r="K26" i="25" s="1"/>
  <c r="AE14" i="46"/>
  <c r="J28" i="25"/>
  <c r="I28" i="25"/>
  <c r="F28" i="25"/>
  <c r="K28" i="25" s="1"/>
  <c r="H28" i="25"/>
  <c r="G12" i="35"/>
  <c r="G13" i="35" s="1"/>
  <c r="G49" i="35" s="1"/>
  <c r="N13" i="37"/>
  <c r="N53" i="37" s="1"/>
  <c r="L54" i="37" s="1"/>
  <c r="N13" i="42"/>
  <c r="N52" i="42" s="1"/>
  <c r="L53" i="42" s="1"/>
  <c r="G12" i="37"/>
  <c r="G13" i="37" s="1"/>
  <c r="G49" i="37" s="1"/>
  <c r="N13" i="40"/>
  <c r="N52" i="40" s="1"/>
  <c r="F6" i="41" s="1"/>
  <c r="G50" i="40"/>
  <c r="H50" i="40"/>
  <c r="C51" i="40"/>
  <c r="E51" i="40" s="1"/>
  <c r="O9" i="42"/>
  <c r="L13" i="42"/>
  <c r="L48" i="42" s="1"/>
  <c r="L52" i="42" s="1"/>
  <c r="C34" i="38"/>
  <c r="L47" i="40" s="1"/>
  <c r="O9" i="37"/>
  <c r="L13" i="37"/>
  <c r="L49" i="37" s="1"/>
  <c r="L53" i="37" s="1"/>
  <c r="J44" i="39" s="1"/>
  <c r="G46" i="39" s="1"/>
  <c r="O9" i="40"/>
  <c r="L13" i="40"/>
  <c r="O9" i="35"/>
  <c r="L13" i="35"/>
  <c r="L49" i="35" s="1"/>
  <c r="L53" i="35" s="1"/>
  <c r="J44" i="36" s="1"/>
  <c r="G46" i="36" s="1"/>
  <c r="H11" i="37"/>
  <c r="O10" i="37"/>
  <c r="H10" i="37"/>
  <c r="H5" i="37"/>
  <c r="O5" i="37"/>
  <c r="E50" i="42"/>
  <c r="G49" i="42"/>
  <c r="H49" i="42"/>
  <c r="H10" i="35"/>
  <c r="O5" i="35"/>
  <c r="H5" i="35"/>
  <c r="O10" i="35"/>
  <c r="H11" i="35"/>
  <c r="G12" i="40"/>
  <c r="G13" i="40" s="1"/>
  <c r="G48" i="40" s="1"/>
  <c r="C52" i="35"/>
  <c r="E52" i="35" s="1"/>
  <c r="H51" i="35"/>
  <c r="G51" i="35"/>
  <c r="H49" i="40"/>
  <c r="G49" i="40"/>
  <c r="N13" i="35"/>
  <c r="N53" i="35" s="1"/>
  <c r="G50" i="35"/>
  <c r="H50" i="35"/>
  <c r="G12" i="42"/>
  <c r="G13" i="42" s="1"/>
  <c r="G48" i="42" s="1"/>
  <c r="H50" i="37"/>
  <c r="H5" i="40"/>
  <c r="H10" i="40"/>
  <c r="H11" i="40"/>
  <c r="O10" i="40"/>
  <c r="O5" i="40"/>
  <c r="O5" i="42"/>
  <c r="O10" i="42"/>
  <c r="H5" i="42"/>
  <c r="H10" i="42"/>
  <c r="H11" i="42"/>
  <c r="C52" i="37"/>
  <c r="E52" i="37" s="1"/>
  <c r="H51" i="37"/>
  <c r="G51" i="37"/>
  <c r="H29" i="25" l="1"/>
  <c r="H31" i="25" s="1"/>
  <c r="H62" i="25" s="1"/>
  <c r="H64" i="25" s="1"/>
  <c r="H66" i="25" s="1"/>
  <c r="G42" i="13"/>
  <c r="H42" i="13" s="1"/>
  <c r="H43" i="13" s="1"/>
  <c r="F55" i="13"/>
  <c r="F56" i="13"/>
  <c r="L50" i="13" s="1"/>
  <c r="J29" i="25"/>
  <c r="J31" i="25" s="1"/>
  <c r="J62" i="25" s="1"/>
  <c r="J64" i="25" s="1"/>
  <c r="J66" i="25" s="1"/>
  <c r="E29" i="25"/>
  <c r="E31" i="25" s="1"/>
  <c r="E62" i="25" s="1"/>
  <c r="E64" i="25" s="1"/>
  <c r="E65" i="25" s="1"/>
  <c r="C24" i="5"/>
  <c r="C25" i="5" s="1"/>
  <c r="D24" i="5" s="1"/>
  <c r="D29" i="25"/>
  <c r="D31" i="25" s="1"/>
  <c r="D62" i="25" s="1"/>
  <c r="D64" i="25" s="1"/>
  <c r="D65" i="25" s="1"/>
  <c r="E43" i="13"/>
  <c r="D31" i="5" s="1"/>
  <c r="A31" i="5" s="1"/>
  <c r="AH7" i="5" s="1"/>
  <c r="W7" i="5" s="1"/>
  <c r="I29" i="25"/>
  <c r="I31" i="25" s="1"/>
  <c r="I62" i="25" s="1"/>
  <c r="I64" i="25" s="1"/>
  <c r="I66" i="25" s="1"/>
  <c r="D25" i="46"/>
  <c r="J30" i="25"/>
  <c r="F29" i="25"/>
  <c r="H30" i="25"/>
  <c r="F30" i="25"/>
  <c r="K30" i="25" s="1"/>
  <c r="I30" i="25"/>
  <c r="F6" i="39"/>
  <c r="L53" i="40"/>
  <c r="L48" i="40"/>
  <c r="L52" i="40" s="1"/>
  <c r="J44" i="41" s="1"/>
  <c r="G46" i="41" s="1"/>
  <c r="H12" i="42"/>
  <c r="H13" i="42" s="1"/>
  <c r="H48" i="42" s="1"/>
  <c r="O13" i="35"/>
  <c r="O53" i="35" s="1"/>
  <c r="L55" i="35" s="1"/>
  <c r="O13" i="42"/>
  <c r="O52" i="42" s="1"/>
  <c r="L54" i="42" s="1"/>
  <c r="O13" i="40"/>
  <c r="O52" i="40" s="1"/>
  <c r="H50" i="42"/>
  <c r="G50" i="42"/>
  <c r="E52" i="40"/>
  <c r="J42" i="41" s="1"/>
  <c r="D46" i="41" s="1"/>
  <c r="H51" i="40"/>
  <c r="G51" i="40"/>
  <c r="G52" i="40" s="1"/>
  <c r="O13" i="37"/>
  <c r="O53" i="37" s="1"/>
  <c r="H12" i="40"/>
  <c r="H13" i="40" s="1"/>
  <c r="H48" i="40" s="1"/>
  <c r="L54" i="35"/>
  <c r="F6" i="36"/>
  <c r="H12" i="37"/>
  <c r="H13" i="37" s="1"/>
  <c r="H49" i="37" s="1"/>
  <c r="E53" i="37"/>
  <c r="J42" i="39" s="1"/>
  <c r="D46" i="39" s="1"/>
  <c r="J46" i="39" s="1"/>
  <c r="D48" i="39" s="1"/>
  <c r="J48" i="39" s="1"/>
  <c r="H52" i="37"/>
  <c r="G52" i="37"/>
  <c r="G53" i="37" s="1"/>
  <c r="G52" i="35"/>
  <c r="G53" i="35" s="1"/>
  <c r="H52" i="35"/>
  <c r="E53" i="35"/>
  <c r="J42" i="36" s="1"/>
  <c r="D46" i="36" s="1"/>
  <c r="J46" i="36" s="1"/>
  <c r="D48" i="36" s="1"/>
  <c r="J48" i="36" s="1"/>
  <c r="H12" i="35"/>
  <c r="H13" i="35" s="1"/>
  <c r="H49" i="35" s="1"/>
  <c r="C51" i="42"/>
  <c r="E51" i="42" s="1"/>
  <c r="G43" i="13" l="1"/>
  <c r="K29" i="25"/>
  <c r="L56" i="13"/>
  <c r="H72" i="13"/>
  <c r="D21" i="5"/>
  <c r="D22" i="5"/>
  <c r="D20" i="5"/>
  <c r="AD7" i="5"/>
  <c r="Q7" i="5"/>
  <c r="D19" i="5"/>
  <c r="D23" i="5"/>
  <c r="D18" i="5"/>
  <c r="AD12" i="5"/>
  <c r="E32" i="46"/>
  <c r="B32" i="46" s="1"/>
  <c r="AI8" i="46" s="1"/>
  <c r="X8" i="46" s="1"/>
  <c r="D26" i="46"/>
  <c r="AE13" i="46"/>
  <c r="F31" i="25"/>
  <c r="F62" i="25" s="1"/>
  <c r="F64" i="25" s="1"/>
  <c r="J46" i="41"/>
  <c r="D48" i="41" s="1"/>
  <c r="J48" i="41" s="1"/>
  <c r="F7" i="36"/>
  <c r="D6" i="36"/>
  <c r="J6" i="36" s="1"/>
  <c r="H19" i="36" s="1"/>
  <c r="E54" i="35"/>
  <c r="D6" i="39"/>
  <c r="J6" i="39" s="1"/>
  <c r="H19" i="39" s="1"/>
  <c r="E54" i="37"/>
  <c r="F7" i="41"/>
  <c r="L54" i="40"/>
  <c r="H52" i="40"/>
  <c r="F7" i="39"/>
  <c r="L55" i="37"/>
  <c r="E53" i="40"/>
  <c r="D6" i="41"/>
  <c r="J6" i="41" s="1"/>
  <c r="H19" i="41" s="1"/>
  <c r="E52" i="42"/>
  <c r="H51" i="42"/>
  <c r="H52" i="42" s="1"/>
  <c r="E54" i="42" s="1"/>
  <c r="G51" i="42"/>
  <c r="G52" i="42" s="1"/>
  <c r="E53" i="42" s="1"/>
  <c r="H53" i="37"/>
  <c r="H53" i="35"/>
  <c r="D25" i="5" l="1"/>
  <c r="H20" i="46"/>
  <c r="H26" i="46" s="1"/>
  <c r="I20" i="46" s="1"/>
  <c r="G19" i="5"/>
  <c r="AF10" i="5" s="1"/>
  <c r="E23" i="46"/>
  <c r="E21" i="46"/>
  <c r="E24" i="46"/>
  <c r="E25" i="46"/>
  <c r="AE8" i="46"/>
  <c r="R8" i="46"/>
  <c r="E19" i="46"/>
  <c r="E20" i="46"/>
  <c r="E22" i="46"/>
  <c r="K62" i="25"/>
  <c r="K31" i="25"/>
  <c r="M31" i="25" s="1"/>
  <c r="E55" i="37"/>
  <c r="D7" i="39"/>
  <c r="J7" i="39" s="1"/>
  <c r="H23" i="39" s="1"/>
  <c r="D7" i="41"/>
  <c r="J7" i="41" s="1"/>
  <c r="H23" i="41" s="1"/>
  <c r="E54" i="40"/>
  <c r="E55" i="35"/>
  <c r="D7" i="36"/>
  <c r="J7" i="36" s="1"/>
  <c r="H23" i="36" s="1"/>
  <c r="F19" i="41"/>
  <c r="E19" i="41"/>
  <c r="G19" i="41"/>
  <c r="D19" i="41"/>
  <c r="H20" i="41"/>
  <c r="F65" i="25"/>
  <c r="K65" i="25" s="1"/>
  <c r="K64" i="25"/>
  <c r="H20" i="39"/>
  <c r="E19" i="39"/>
  <c r="D19" i="39"/>
  <c r="G19" i="39"/>
  <c r="F19" i="39"/>
  <c r="G19" i="36"/>
  <c r="G20" i="36" s="1"/>
  <c r="F19" i="36"/>
  <c r="H20" i="36"/>
  <c r="D19" i="36"/>
  <c r="E19" i="36"/>
  <c r="E26" i="46" l="1"/>
  <c r="G25" i="5"/>
  <c r="AF7" i="5" s="1"/>
  <c r="I19" i="46"/>
  <c r="I26" i="46" s="1"/>
  <c r="U8" i="46"/>
  <c r="AG8" i="46"/>
  <c r="AG11" i="46"/>
  <c r="H37" i="46"/>
  <c r="AI11" i="46" s="1"/>
  <c r="G36" i="5"/>
  <c r="AH10" i="5" s="1"/>
  <c r="E23" i="36"/>
  <c r="E24" i="36" s="1"/>
  <c r="D23" i="36"/>
  <c r="D24" i="36" s="1"/>
  <c r="H24" i="36"/>
  <c r="G23" i="36"/>
  <c r="F23" i="36"/>
  <c r="F24" i="36" s="1"/>
  <c r="E20" i="41"/>
  <c r="D20" i="39"/>
  <c r="F20" i="36"/>
  <c r="F20" i="41"/>
  <c r="G23" i="41"/>
  <c r="G24" i="41" s="1"/>
  <c r="H24" i="41"/>
  <c r="F23" i="41"/>
  <c r="F24" i="41" s="1"/>
  <c r="D23" i="41"/>
  <c r="D24" i="41" s="1"/>
  <c r="E23" i="41"/>
  <c r="E24" i="41" s="1"/>
  <c r="E20" i="39"/>
  <c r="F20" i="39"/>
  <c r="H24" i="39"/>
  <c r="E23" i="39"/>
  <c r="E24" i="39" s="1"/>
  <c r="D23" i="39"/>
  <c r="D24" i="39" s="1"/>
  <c r="F23" i="39"/>
  <c r="F24" i="39" s="1"/>
  <c r="G23" i="39"/>
  <c r="G24" i="39" s="1"/>
  <c r="E20" i="36"/>
  <c r="D20" i="41"/>
  <c r="D20" i="36"/>
  <c r="G20" i="39"/>
  <c r="G20" i="41"/>
  <c r="H18" i="5" l="1"/>
  <c r="H19" i="5"/>
  <c r="T7" i="5"/>
  <c r="F37" i="46"/>
  <c r="AI10" i="46" s="1"/>
  <c r="E36" i="5"/>
  <c r="AH9" i="5" s="1"/>
  <c r="D37" i="46"/>
  <c r="AI12" i="46" s="1"/>
  <c r="C36" i="5"/>
  <c r="AH11" i="5" s="1"/>
  <c r="H38" i="46"/>
  <c r="G37" i="5"/>
  <c r="E25" i="36"/>
  <c r="E26" i="36" s="1"/>
  <c r="E27" i="36" s="1"/>
  <c r="F25" i="41"/>
  <c r="F26" i="41" s="1"/>
  <c r="F27" i="41" s="1"/>
  <c r="D25" i="36"/>
  <c r="D26" i="36" s="1"/>
  <c r="D27" i="36" s="1"/>
  <c r="H37" i="36" s="1"/>
  <c r="K37" i="36" s="1"/>
  <c r="F25" i="39"/>
  <c r="F26" i="39" s="1"/>
  <c r="F27" i="39" s="1"/>
  <c r="E25" i="39"/>
  <c r="E26" i="39" s="1"/>
  <c r="E27" i="39" s="1"/>
  <c r="D25" i="39"/>
  <c r="D26" i="39" s="1"/>
  <c r="D27" i="39" s="1"/>
  <c r="H37" i="39" s="1"/>
  <c r="K37" i="39" s="1"/>
  <c r="G25" i="41"/>
  <c r="G26" i="41" s="1"/>
  <c r="G27" i="41" s="1"/>
  <c r="G30" i="41" s="1"/>
  <c r="G31" i="41" s="1"/>
  <c r="G32" i="41" s="1"/>
  <c r="E25" i="41"/>
  <c r="E26" i="41" s="1"/>
  <c r="E27" i="41" s="1"/>
  <c r="G25" i="36"/>
  <c r="G26" i="36" s="1"/>
  <c r="G27" i="36" s="1"/>
  <c r="G30" i="36" s="1"/>
  <c r="G31" i="36" s="1"/>
  <c r="G32" i="36" s="1"/>
  <c r="G24" i="36"/>
  <c r="F25" i="36"/>
  <c r="F26" i="36" s="1"/>
  <c r="F27" i="36" s="1"/>
  <c r="G25" i="39"/>
  <c r="G26" i="39" s="1"/>
  <c r="G27" i="39" s="1"/>
  <c r="G30" i="39" s="1"/>
  <c r="G31" i="39" s="1"/>
  <c r="G32" i="39" s="1"/>
  <c r="D25" i="41"/>
  <c r="H25" i="5" l="1"/>
  <c r="E37" i="5"/>
  <c r="D38" i="46"/>
  <c r="C37" i="5"/>
  <c r="F38" i="46"/>
  <c r="L37" i="46"/>
  <c r="K36" i="5"/>
  <c r="K47" i="5" s="1"/>
  <c r="AI13" i="46"/>
  <c r="AH12" i="5"/>
  <c r="AI7" i="5" s="1"/>
  <c r="H39" i="46"/>
  <c r="G38" i="5"/>
  <c r="H25" i="39"/>
  <c r="H30" i="39" s="1"/>
  <c r="H25" i="36"/>
  <c r="H30" i="36" s="1"/>
  <c r="H25" i="41"/>
  <c r="D26" i="41"/>
  <c r="D27" i="41" s="1"/>
  <c r="H37" i="41" s="1"/>
  <c r="K37" i="41" s="1"/>
  <c r="E38" i="5" l="1"/>
  <c r="F39" i="46"/>
  <c r="D39" i="46"/>
  <c r="C38" i="5"/>
  <c r="H26" i="39"/>
  <c r="H27" i="39" s="1"/>
  <c r="H26" i="36"/>
  <c r="H27" i="36" s="1"/>
  <c r="H31" i="39"/>
  <c r="H32" i="39" s="1"/>
  <c r="D30" i="39"/>
  <c r="D31" i="39" s="1"/>
  <c r="D32" i="39" s="1"/>
  <c r="H30" i="41"/>
  <c r="H26" i="41"/>
  <c r="H27" i="41" s="1"/>
  <c r="D30" i="36"/>
  <c r="D31" i="36" s="1"/>
  <c r="D32" i="36" s="1"/>
  <c r="H31" i="36"/>
  <c r="H32" i="36" s="1"/>
  <c r="H31" i="41" l="1"/>
  <c r="H32" i="41" s="1"/>
  <c r="D30" i="41"/>
  <c r="D31" i="41" s="1"/>
  <c r="D32" i="41" s="1"/>
</calcChain>
</file>

<file path=xl/sharedStrings.xml><?xml version="1.0" encoding="utf-8"?>
<sst xmlns="http://schemas.openxmlformats.org/spreadsheetml/2006/main" count="1518" uniqueCount="511">
  <si>
    <t>調査設計計画費</t>
    <rPh sb="0" eb="2">
      <t>チョウサ</t>
    </rPh>
    <rPh sb="2" eb="4">
      <t>セッケイ</t>
    </rPh>
    <rPh sb="4" eb="6">
      <t>ケイカク</t>
    </rPh>
    <rPh sb="6" eb="7">
      <t>ヒ</t>
    </rPh>
    <phoneticPr fontId="2"/>
  </si>
  <si>
    <t>土地整備費</t>
    <rPh sb="0" eb="2">
      <t>トチ</t>
    </rPh>
    <rPh sb="2" eb="5">
      <t>セイビヒ</t>
    </rPh>
    <phoneticPr fontId="2"/>
  </si>
  <si>
    <t>補償費</t>
    <rPh sb="0" eb="2">
      <t>ホショウ</t>
    </rPh>
    <rPh sb="2" eb="3">
      <t>ヒ</t>
    </rPh>
    <phoneticPr fontId="2"/>
  </si>
  <si>
    <t>事業計画作成費</t>
    <rPh sb="0" eb="2">
      <t>ジギョウ</t>
    </rPh>
    <rPh sb="2" eb="4">
      <t>ケイカク</t>
    </rPh>
    <rPh sb="4" eb="6">
      <t>サクセイ</t>
    </rPh>
    <rPh sb="6" eb="7">
      <t>ヒ</t>
    </rPh>
    <phoneticPr fontId="2"/>
  </si>
  <si>
    <t>数量</t>
    <rPh sb="0" eb="2">
      <t>スウリョウ</t>
    </rPh>
    <phoneticPr fontId="2"/>
  </si>
  <si>
    <t>単価</t>
    <rPh sb="0" eb="2">
      <t>タンカ</t>
    </rPh>
    <phoneticPr fontId="2"/>
  </si>
  <si>
    <t>金額</t>
    <rPh sb="0" eb="2">
      <t>キンガク</t>
    </rPh>
    <phoneticPr fontId="2"/>
  </si>
  <si>
    <t>基本設計費</t>
    <rPh sb="0" eb="2">
      <t>キホン</t>
    </rPh>
    <rPh sb="2" eb="4">
      <t>セッケイ</t>
    </rPh>
    <rPh sb="4" eb="5">
      <t>ヒ</t>
    </rPh>
    <phoneticPr fontId="2"/>
  </si>
  <si>
    <t>地盤調査費</t>
    <rPh sb="0" eb="2">
      <t>ジバン</t>
    </rPh>
    <rPh sb="2" eb="4">
      <t>チョウサ</t>
    </rPh>
    <rPh sb="4" eb="5">
      <t>ヒ</t>
    </rPh>
    <phoneticPr fontId="2"/>
  </si>
  <si>
    <t>建築設計費</t>
    <rPh sb="0" eb="2">
      <t>ケンチク</t>
    </rPh>
    <rPh sb="2" eb="4">
      <t>セッケイ</t>
    </rPh>
    <rPh sb="4" eb="5">
      <t>ヒ</t>
    </rPh>
    <phoneticPr fontId="2"/>
  </si>
  <si>
    <t>権利変換計画作成費</t>
    <rPh sb="0" eb="2">
      <t>ケンリ</t>
    </rPh>
    <rPh sb="2" eb="4">
      <t>ヘンカン</t>
    </rPh>
    <rPh sb="4" eb="6">
      <t>ケイカク</t>
    </rPh>
    <rPh sb="6" eb="8">
      <t>サクセイ</t>
    </rPh>
    <rPh sb="8" eb="9">
      <t>ヒ</t>
    </rPh>
    <phoneticPr fontId="2"/>
  </si>
  <si>
    <t>その他費用</t>
    <rPh sb="2" eb="3">
      <t>タ</t>
    </rPh>
    <rPh sb="3" eb="5">
      <t>ヒヨウ</t>
    </rPh>
    <phoneticPr fontId="2"/>
  </si>
  <si>
    <t>小計①</t>
    <rPh sb="0" eb="1">
      <t>ショウ</t>
    </rPh>
    <rPh sb="1" eb="2">
      <t>ケイ</t>
    </rPh>
    <phoneticPr fontId="2"/>
  </si>
  <si>
    <t>整地費</t>
    <rPh sb="0" eb="2">
      <t>セイチ</t>
    </rPh>
    <rPh sb="2" eb="3">
      <t>ヒ</t>
    </rPh>
    <phoneticPr fontId="2"/>
  </si>
  <si>
    <t>小計②</t>
    <rPh sb="0" eb="1">
      <t>ショウ</t>
    </rPh>
    <rPh sb="1" eb="2">
      <t>ケイ</t>
    </rPh>
    <phoneticPr fontId="2"/>
  </si>
  <si>
    <t>従前延床面積×単価</t>
    <rPh sb="0" eb="2">
      <t>ジュウゼン</t>
    </rPh>
    <rPh sb="2" eb="3">
      <t>ノ</t>
    </rPh>
    <rPh sb="3" eb="4">
      <t>ユカ</t>
    </rPh>
    <rPh sb="4" eb="6">
      <t>メンセキ</t>
    </rPh>
    <rPh sb="7" eb="9">
      <t>タンカ</t>
    </rPh>
    <phoneticPr fontId="2"/>
  </si>
  <si>
    <t>従前敷地面積×単価</t>
    <rPh sb="0" eb="2">
      <t>ジュウゼン</t>
    </rPh>
    <rPh sb="2" eb="4">
      <t>シキチ</t>
    </rPh>
    <rPh sb="4" eb="6">
      <t>メンセキ</t>
    </rPh>
    <rPh sb="7" eb="9">
      <t>タンカ</t>
    </rPh>
    <phoneticPr fontId="2"/>
  </si>
  <si>
    <t>用地補償費</t>
    <rPh sb="0" eb="2">
      <t>ヨウチ</t>
    </rPh>
    <rPh sb="2" eb="4">
      <t>ホショウ</t>
    </rPh>
    <rPh sb="4" eb="5">
      <t>ヒ</t>
    </rPh>
    <phoneticPr fontId="2"/>
  </si>
  <si>
    <t>上記相当利息分</t>
    <rPh sb="0" eb="2">
      <t>ジョウキ</t>
    </rPh>
    <rPh sb="2" eb="4">
      <t>ソウトウ</t>
    </rPh>
    <rPh sb="4" eb="7">
      <t>リソクブン</t>
    </rPh>
    <phoneticPr fontId="2"/>
  </si>
  <si>
    <t>工事費</t>
    <rPh sb="0" eb="3">
      <t>コウジヒ</t>
    </rPh>
    <phoneticPr fontId="2"/>
  </si>
  <si>
    <t>計画延床面積×単価</t>
    <rPh sb="0" eb="2">
      <t>ケイカク</t>
    </rPh>
    <rPh sb="2" eb="3">
      <t>ノ</t>
    </rPh>
    <rPh sb="3" eb="4">
      <t>ユカ</t>
    </rPh>
    <rPh sb="4" eb="6">
      <t>メンセキ</t>
    </rPh>
    <rPh sb="7" eb="9">
      <t>タンカ</t>
    </rPh>
    <phoneticPr fontId="2"/>
  </si>
  <si>
    <t>小計④</t>
    <rPh sb="0" eb="1">
      <t>ショウ</t>
    </rPh>
    <rPh sb="1" eb="2">
      <t>ケイ</t>
    </rPh>
    <phoneticPr fontId="2"/>
  </si>
  <si>
    <t>借入金利子</t>
    <rPh sb="0" eb="2">
      <t>カリイレ</t>
    </rPh>
    <rPh sb="2" eb="3">
      <t>キン</t>
    </rPh>
    <rPh sb="3" eb="5">
      <t>リシ</t>
    </rPh>
    <phoneticPr fontId="2"/>
  </si>
  <si>
    <t>　うち土地分</t>
    <rPh sb="3" eb="5">
      <t>トチ</t>
    </rPh>
    <rPh sb="5" eb="6">
      <t>ブン</t>
    </rPh>
    <phoneticPr fontId="2"/>
  </si>
  <si>
    <t>　うち建物分</t>
    <rPh sb="3" eb="5">
      <t>タテモノ</t>
    </rPh>
    <rPh sb="5" eb="6">
      <t>ブン</t>
    </rPh>
    <phoneticPr fontId="2"/>
  </si>
  <si>
    <t>敷地面積</t>
    <rPh sb="0" eb="2">
      <t>シキチ</t>
    </rPh>
    <rPh sb="2" eb="4">
      <t>メンセキ</t>
    </rPh>
    <phoneticPr fontId="2"/>
  </si>
  <si>
    <t>建築面積</t>
    <rPh sb="0" eb="2">
      <t>ケンチク</t>
    </rPh>
    <rPh sb="2" eb="4">
      <t>メンセキ</t>
    </rPh>
    <phoneticPr fontId="2"/>
  </si>
  <si>
    <t>住宅</t>
    <rPh sb="0" eb="2">
      <t>ジュウタク</t>
    </rPh>
    <phoneticPr fontId="2"/>
  </si>
  <si>
    <t>面積</t>
    <rPh sb="0" eb="2">
      <t>メンセキ</t>
    </rPh>
    <phoneticPr fontId="2"/>
  </si>
  <si>
    <t>（千円/坪）</t>
    <rPh sb="1" eb="3">
      <t>センエン</t>
    </rPh>
    <rPh sb="4" eb="5">
      <t>ツボ</t>
    </rPh>
    <phoneticPr fontId="2"/>
  </si>
  <si>
    <t>（坪）</t>
    <rPh sb="1" eb="2">
      <t>ツボ</t>
    </rPh>
    <phoneticPr fontId="2"/>
  </si>
  <si>
    <t>計</t>
    <rPh sb="0" eb="1">
      <t>ケイ</t>
    </rPh>
    <phoneticPr fontId="2"/>
  </si>
  <si>
    <t>（百万円）</t>
    <rPh sb="1" eb="4">
      <t>ヒャクマンエン</t>
    </rPh>
    <phoneticPr fontId="2"/>
  </si>
  <si>
    <t>動産移転補償・雑費（残留）</t>
    <rPh sb="0" eb="2">
      <t>ドウサン</t>
    </rPh>
    <rPh sb="2" eb="4">
      <t>イテン</t>
    </rPh>
    <rPh sb="4" eb="6">
      <t>ホショウ</t>
    </rPh>
    <rPh sb="7" eb="9">
      <t>ザッピ</t>
    </rPh>
    <rPh sb="10" eb="12">
      <t>ザンリュウ</t>
    </rPh>
    <phoneticPr fontId="2"/>
  </si>
  <si>
    <t>仮住居補償</t>
    <rPh sb="0" eb="1">
      <t>カリ</t>
    </rPh>
    <rPh sb="1" eb="3">
      <t>ジュウキョ</t>
    </rPh>
    <rPh sb="3" eb="5">
      <t>ホショウ</t>
    </rPh>
    <phoneticPr fontId="2"/>
  </si>
  <si>
    <t>動産移転補償・雑費（転出）</t>
    <rPh sb="0" eb="2">
      <t>ドウサン</t>
    </rPh>
    <rPh sb="2" eb="4">
      <t>イテン</t>
    </rPh>
    <rPh sb="4" eb="6">
      <t>ホショウ</t>
    </rPh>
    <rPh sb="7" eb="9">
      <t>ザッピ</t>
    </rPh>
    <rPh sb="10" eb="12">
      <t>テンシュツ</t>
    </rPh>
    <phoneticPr fontId="2"/>
  </si>
  <si>
    <t>工作物補償</t>
    <rPh sb="0" eb="3">
      <t>コウサクブツ</t>
    </rPh>
    <rPh sb="3" eb="5">
      <t>ホショウ</t>
    </rPh>
    <phoneticPr fontId="2"/>
  </si>
  <si>
    <t>総事業費</t>
    <rPh sb="0" eb="1">
      <t>ソウ</t>
    </rPh>
    <rPh sb="1" eb="4">
      <t>ジギョウヒ</t>
    </rPh>
    <phoneticPr fontId="2"/>
  </si>
  <si>
    <t>按分分は、土地：建物の区分比で配分</t>
    <rPh sb="0" eb="2">
      <t>アンブン</t>
    </rPh>
    <rPh sb="2" eb="3">
      <t>ブン</t>
    </rPh>
    <rPh sb="5" eb="7">
      <t>トチ</t>
    </rPh>
    <rPh sb="8" eb="10">
      <t>タテモノ</t>
    </rPh>
    <rPh sb="11" eb="13">
      <t>クブン</t>
    </rPh>
    <rPh sb="13" eb="14">
      <t>ヒ</t>
    </rPh>
    <rPh sb="15" eb="17">
      <t>ハイブン</t>
    </rPh>
    <phoneticPr fontId="2"/>
  </si>
  <si>
    <t>補助率</t>
    <rPh sb="0" eb="3">
      <t>ホジョリツ</t>
    </rPh>
    <phoneticPr fontId="2"/>
  </si>
  <si>
    <t>補助金額</t>
    <rPh sb="0" eb="2">
      <t>ホジョ</t>
    </rPh>
    <rPh sb="2" eb="4">
      <t>キンガク</t>
    </rPh>
    <phoneticPr fontId="2"/>
  </si>
  <si>
    <t>①原価算定</t>
    <rPh sb="1" eb="3">
      <t>ゲンカ</t>
    </rPh>
    <rPh sb="3" eb="5">
      <t>サンテイ</t>
    </rPh>
    <phoneticPr fontId="2"/>
  </si>
  <si>
    <t>総事業費</t>
    <rPh sb="0" eb="4">
      <t>ソウジギョウヒ</t>
    </rPh>
    <phoneticPr fontId="2"/>
  </si>
  <si>
    <t>補助金総額</t>
    <rPh sb="0" eb="3">
      <t>ホジョキン</t>
    </rPh>
    <rPh sb="3" eb="5">
      <t>ソウガク</t>
    </rPh>
    <phoneticPr fontId="2"/>
  </si>
  <si>
    <t>原価</t>
    <rPh sb="0" eb="2">
      <t>ゲンカ</t>
    </rPh>
    <phoneticPr fontId="2"/>
  </si>
  <si>
    <t>百万円</t>
    <rPh sb="0" eb="2">
      <t>ヒャクマン</t>
    </rPh>
    <rPh sb="2" eb="3">
      <t>エン</t>
    </rPh>
    <phoneticPr fontId="2"/>
  </si>
  <si>
    <t>専有率</t>
    <rPh sb="0" eb="2">
      <t>センユウ</t>
    </rPh>
    <rPh sb="2" eb="3">
      <t>リツ</t>
    </rPh>
    <phoneticPr fontId="2"/>
  </si>
  <si>
    <t>専有面積：Ａ</t>
    <rPh sb="0" eb="2">
      <t>センユウ</t>
    </rPh>
    <rPh sb="2" eb="4">
      <t>メンセキ</t>
    </rPh>
    <phoneticPr fontId="2"/>
  </si>
  <si>
    <t>土地費</t>
    <rPh sb="0" eb="2">
      <t>トチ</t>
    </rPh>
    <rPh sb="2" eb="3">
      <t>ヒ</t>
    </rPh>
    <phoneticPr fontId="2"/>
  </si>
  <si>
    <t>持分額</t>
    <rPh sb="0" eb="2">
      <t>モチブン</t>
    </rPh>
    <rPh sb="2" eb="3">
      <t>ガク</t>
    </rPh>
    <phoneticPr fontId="2"/>
  </si>
  <si>
    <t>ネット単価（千円／㎡）</t>
    <rPh sb="3" eb="5">
      <t>タンカ</t>
    </rPh>
    <rPh sb="6" eb="8">
      <t>センエン</t>
    </rPh>
    <phoneticPr fontId="2"/>
  </si>
  <si>
    <t>建物費</t>
    <rPh sb="0" eb="2">
      <t>タテモノ</t>
    </rPh>
    <rPh sb="2" eb="3">
      <t>ヒ</t>
    </rPh>
    <phoneticPr fontId="2"/>
  </si>
  <si>
    <t>工事比率</t>
    <rPh sb="0" eb="2">
      <t>コウジ</t>
    </rPh>
    <rPh sb="2" eb="4">
      <t>ヒリツ</t>
    </rPh>
    <phoneticPr fontId="2"/>
  </si>
  <si>
    <t>持分額（千円）</t>
    <rPh sb="0" eb="2">
      <t>モチブン</t>
    </rPh>
    <rPh sb="2" eb="3">
      <t>ガク</t>
    </rPh>
    <rPh sb="4" eb="6">
      <t>センエン</t>
    </rPh>
    <phoneticPr fontId="2"/>
  </si>
  <si>
    <t>合計</t>
    <rPh sb="0" eb="1">
      <t>ゴウ</t>
    </rPh>
    <rPh sb="1" eb="2">
      <t>ケイ</t>
    </rPh>
    <phoneticPr fontId="2"/>
  </si>
  <si>
    <t>合計価額（千円）</t>
    <rPh sb="0" eb="1">
      <t>ゴウ</t>
    </rPh>
    <rPh sb="1" eb="2">
      <t>ケイ</t>
    </rPh>
    <rPh sb="2" eb="4">
      <t>カガク</t>
    </rPh>
    <rPh sb="5" eb="7">
      <t>センエン</t>
    </rPh>
    <phoneticPr fontId="2"/>
  </si>
  <si>
    <t>ネット単価（千円／坪）</t>
    <rPh sb="3" eb="5">
      <t>タンカ</t>
    </rPh>
    <rPh sb="6" eb="8">
      <t>センエン</t>
    </rPh>
    <rPh sb="9" eb="10">
      <t>ツボ</t>
    </rPh>
    <phoneticPr fontId="2"/>
  </si>
  <si>
    <t>Ａ×Ｒ</t>
    <phoneticPr fontId="2"/>
  </si>
  <si>
    <t>百万円　＋</t>
    <rPh sb="0" eb="3">
      <t>ヒャクマンエン</t>
    </rPh>
    <phoneticPr fontId="2"/>
  </si>
  <si>
    <t>百万円　＝</t>
    <rPh sb="0" eb="3">
      <t>ヒャクマンエン</t>
    </rPh>
    <phoneticPr fontId="2"/>
  </si>
  <si>
    <t>②床原価配分</t>
    <rPh sb="1" eb="2">
      <t>ユカ</t>
    </rPh>
    <rPh sb="2" eb="4">
      <t>ゲンカ</t>
    </rPh>
    <rPh sb="4" eb="6">
      <t>ハイブン</t>
    </rPh>
    <phoneticPr fontId="2"/>
  </si>
  <si>
    <t>構成比</t>
    <rPh sb="0" eb="3">
      <t>コウセイヒ</t>
    </rPh>
    <phoneticPr fontId="2"/>
  </si>
  <si>
    <t>補助金</t>
    <rPh sb="0" eb="3">
      <t>ホジョキン</t>
    </rPh>
    <phoneticPr fontId="2"/>
  </si>
  <si>
    <t>保留床処分金</t>
    <rPh sb="0" eb="2">
      <t>ホリュウ</t>
    </rPh>
    <rPh sb="2" eb="3">
      <t>ユカ</t>
    </rPh>
    <rPh sb="3" eb="5">
      <t>ショブン</t>
    </rPh>
    <rPh sb="5" eb="6">
      <t>キン</t>
    </rPh>
    <phoneticPr fontId="2"/>
  </si>
  <si>
    <t>（㎡）</t>
    <phoneticPr fontId="2"/>
  </si>
  <si>
    <t>項　　　　目</t>
    <rPh sb="0" eb="1">
      <t>コウ</t>
    </rPh>
    <rPh sb="5" eb="6">
      <t>メ</t>
    </rPh>
    <phoneticPr fontId="2"/>
  </si>
  <si>
    <t>土地原価：</t>
    <rPh sb="0" eb="2">
      <t>トチ</t>
    </rPh>
    <rPh sb="2" eb="4">
      <t>ゲンカ</t>
    </rPh>
    <phoneticPr fontId="2"/>
  </si>
  <si>
    <t>建物原価：</t>
    <rPh sb="0" eb="2">
      <t>タテモノ</t>
    </rPh>
    <rPh sb="2" eb="4">
      <t>ゲンカ</t>
    </rPh>
    <phoneticPr fontId="2"/>
  </si>
  <si>
    <t>百万円　－</t>
    <rPh sb="0" eb="3">
      <t>ヒャクマンエン</t>
    </rPh>
    <phoneticPr fontId="2"/>
  </si>
  <si>
    <t>Ａ　支出の部</t>
    <rPh sb="2" eb="4">
      <t>シシュツ</t>
    </rPh>
    <rPh sb="5" eb="6">
      <t>ブ</t>
    </rPh>
    <phoneticPr fontId="2"/>
  </si>
  <si>
    <t>　　総事業費</t>
    <rPh sb="2" eb="6">
      <t>ソウジギョウヒ</t>
    </rPh>
    <phoneticPr fontId="2"/>
  </si>
  <si>
    <t>Ｂ　収入の部</t>
    <rPh sb="2" eb="4">
      <t>シュウニュウ</t>
    </rPh>
    <rPh sb="5" eb="6">
      <t>ブ</t>
    </rPh>
    <phoneticPr fontId="2"/>
  </si>
  <si>
    <t>　イ）交付金</t>
    <rPh sb="3" eb="6">
      <t>コウフキン</t>
    </rPh>
    <phoneticPr fontId="2"/>
  </si>
  <si>
    <t>（千円/月・坪）</t>
    <rPh sb="1" eb="3">
      <t>センエン</t>
    </rPh>
    <rPh sb="4" eb="5">
      <t>ツキ</t>
    </rPh>
    <rPh sb="6" eb="7">
      <t>ツボ</t>
    </rPh>
    <phoneticPr fontId="2"/>
  </si>
  <si>
    <t>－</t>
    <phoneticPr fontId="2"/>
  </si>
  <si>
    <t>＝</t>
    <phoneticPr fontId="2"/>
  </si>
  <si>
    <t>　ロ）保留床処分金</t>
    <rPh sb="3" eb="6">
      <t>ホリュウショウ</t>
    </rPh>
    <rPh sb="6" eb="8">
      <t>ショブン</t>
    </rPh>
    <rPh sb="8" eb="9">
      <t>キン</t>
    </rPh>
    <phoneticPr fontId="2"/>
  </si>
  <si>
    <t>　＝総事業費－交付金</t>
    <rPh sb="2" eb="6">
      <t>ソウジギョウヒ</t>
    </rPh>
    <rPh sb="7" eb="10">
      <t>コウフキン</t>
    </rPh>
    <phoneticPr fontId="2"/>
  </si>
  <si>
    <t>＋</t>
    <phoneticPr fontId="2"/>
  </si>
  <si>
    <t>　　　総床価額</t>
    <rPh sb="3" eb="4">
      <t>ソウ</t>
    </rPh>
    <rPh sb="4" eb="5">
      <t>ユカ</t>
    </rPh>
    <rPh sb="5" eb="7">
      <t>カガク</t>
    </rPh>
    <phoneticPr fontId="2"/>
  </si>
  <si>
    <t>　＝保留床処分金＋従前資産額</t>
    <rPh sb="2" eb="5">
      <t>ホリュウショウ</t>
    </rPh>
    <rPh sb="5" eb="7">
      <t>ショブン</t>
    </rPh>
    <rPh sb="7" eb="8">
      <t>キン</t>
    </rPh>
    <rPh sb="9" eb="11">
      <t>ジュウゼン</t>
    </rPh>
    <rPh sb="11" eb="14">
      <t>シサンガク</t>
    </rPh>
    <phoneticPr fontId="2"/>
  </si>
  <si>
    <t>区分工事費（百万円）</t>
    <rPh sb="0" eb="2">
      <t>クブン</t>
    </rPh>
    <rPh sb="2" eb="5">
      <t>コウジヒ</t>
    </rPh>
    <rPh sb="6" eb="8">
      <t>ヒャクマン</t>
    </rPh>
    <rPh sb="8" eb="9">
      <t>エン</t>
    </rPh>
    <phoneticPr fontId="2"/>
  </si>
  <si>
    <t xml:space="preserve">   </t>
    <phoneticPr fontId="2"/>
  </si>
  <si>
    <t>延床面積</t>
    <rPh sb="0" eb="4">
      <t>ノベユカメンセキ</t>
    </rPh>
    <phoneticPr fontId="2"/>
  </si>
  <si>
    <t>用途</t>
    <rPh sb="0" eb="2">
      <t>ヨウト</t>
    </rPh>
    <phoneticPr fontId="2"/>
  </si>
  <si>
    <t>面積（延床）</t>
    <rPh sb="0" eb="2">
      <t>メンセキ</t>
    </rPh>
    <rPh sb="3" eb="5">
      <t>ノベユカ</t>
    </rPh>
    <phoneticPr fontId="2"/>
  </si>
  <si>
    <t>備考</t>
    <rPh sb="0" eb="2">
      <t>ビコウ</t>
    </rPh>
    <phoneticPr fontId="2"/>
  </si>
  <si>
    <t>（㎡）</t>
    <phoneticPr fontId="2"/>
  </si>
  <si>
    <t>全体</t>
    <rPh sb="0" eb="2">
      <t>ゼンタイ</t>
    </rPh>
    <phoneticPr fontId="2"/>
  </si>
  <si>
    <t>事業支出金</t>
    <rPh sb="0" eb="2">
      <t>ジギョウ</t>
    </rPh>
    <rPh sb="2" eb="5">
      <t>シシュツキン</t>
    </rPh>
    <phoneticPr fontId="2"/>
  </si>
  <si>
    <t>事業収入金</t>
    <rPh sb="0" eb="2">
      <t>ジギョウ</t>
    </rPh>
    <rPh sb="2" eb="5">
      <t>シュウニュウキン</t>
    </rPh>
    <phoneticPr fontId="2"/>
  </si>
  <si>
    <t>科目</t>
    <rPh sb="0" eb="2">
      <t>カモク</t>
    </rPh>
    <phoneticPr fontId="2"/>
  </si>
  <si>
    <t>金額（百万円）</t>
    <rPh sb="0" eb="2">
      <t>キンガク</t>
    </rPh>
    <rPh sb="3" eb="5">
      <t>ヒャクマン</t>
    </rPh>
    <rPh sb="5" eb="6">
      <t>エン</t>
    </rPh>
    <phoneticPr fontId="2"/>
  </si>
  <si>
    <t>事務費</t>
    <rPh sb="0" eb="3">
      <t>ジムヒ</t>
    </rPh>
    <phoneticPr fontId="2"/>
  </si>
  <si>
    <t>支出金</t>
    <rPh sb="0" eb="3">
      <t>シシュツキン</t>
    </rPh>
    <phoneticPr fontId="2"/>
  </si>
  <si>
    <t>収入金</t>
    <rPh sb="0" eb="3">
      <t>シュウニュウキン</t>
    </rPh>
    <phoneticPr fontId="2"/>
  </si>
  <si>
    <t>（百万円）</t>
    <phoneticPr fontId="2"/>
  </si>
  <si>
    <t>事業支出金</t>
    <rPh sb="0" eb="2">
      <t>ジギョウ</t>
    </rPh>
    <rPh sb="2" eb="4">
      <t>シシュツ</t>
    </rPh>
    <rPh sb="4" eb="5">
      <t>キン</t>
    </rPh>
    <phoneticPr fontId="2"/>
  </si>
  <si>
    <t>補助金等</t>
    <rPh sb="0" eb="3">
      <t>ホジョキン</t>
    </rPh>
    <rPh sb="3" eb="4">
      <t>トウ</t>
    </rPh>
    <phoneticPr fontId="2"/>
  </si>
  <si>
    <t>従前資産額</t>
    <rPh sb="0" eb="2">
      <t>ジュウゼン</t>
    </rPh>
    <rPh sb="2" eb="4">
      <t>シサン</t>
    </rPh>
    <rPh sb="4" eb="5">
      <t>ガク</t>
    </rPh>
    <phoneticPr fontId="2"/>
  </si>
  <si>
    <t>床原価格</t>
    <rPh sb="0" eb="1">
      <t>ユカ</t>
    </rPh>
    <rPh sb="1" eb="3">
      <t>ゲンカ</t>
    </rPh>
    <rPh sb="3" eb="4">
      <t>カク</t>
    </rPh>
    <phoneticPr fontId="2"/>
  </si>
  <si>
    <t>－</t>
    <phoneticPr fontId="2"/>
  </si>
  <si>
    <t>＋</t>
    <phoneticPr fontId="2"/>
  </si>
  <si>
    <t>＝</t>
    <phoneticPr fontId="2"/>
  </si>
  <si>
    <t>×</t>
    <phoneticPr fontId="2"/>
  </si>
  <si>
    <t>千円/㎡</t>
    <rPh sb="0" eb="2">
      <t>センエン</t>
    </rPh>
    <phoneticPr fontId="2"/>
  </si>
  <si>
    <t>千円/坪</t>
    <rPh sb="0" eb="2">
      <t>センエン</t>
    </rPh>
    <rPh sb="3" eb="4">
      <t>ツボ</t>
    </rPh>
    <phoneticPr fontId="2"/>
  </si>
  <si>
    <t>総床原価（百万円）</t>
    <rPh sb="0" eb="1">
      <t>ソウ</t>
    </rPh>
    <rPh sb="1" eb="2">
      <t>ユカ</t>
    </rPh>
    <rPh sb="2" eb="4">
      <t>ゲンカ</t>
    </rPh>
    <rPh sb="5" eb="8">
      <t>ヒャクマンエン</t>
    </rPh>
    <phoneticPr fontId="2"/>
  </si>
  <si>
    <t>商業</t>
    <rPh sb="0" eb="2">
      <t>ショウギョウ</t>
    </rPh>
    <phoneticPr fontId="2"/>
  </si>
  <si>
    <t>÷</t>
    <phoneticPr fontId="2"/>
  </si>
  <si>
    <t>駐車場</t>
    <rPh sb="0" eb="3">
      <t>チュウシャジョウ</t>
    </rPh>
    <phoneticPr fontId="2"/>
  </si>
  <si>
    <t>（千円/㎡）</t>
    <rPh sb="1" eb="3">
      <t>センエン</t>
    </rPh>
    <phoneticPr fontId="2"/>
  </si>
  <si>
    <t>施設共用</t>
    <rPh sb="0" eb="2">
      <t>シセツ</t>
    </rPh>
    <rPh sb="2" eb="4">
      <t>キョウヨウ</t>
    </rPh>
    <phoneticPr fontId="2"/>
  </si>
  <si>
    <t>調査本数×単価</t>
    <rPh sb="0" eb="2">
      <t>チョウサ</t>
    </rPh>
    <rPh sb="2" eb="4">
      <t>ホンスウ</t>
    </rPh>
    <rPh sb="5" eb="7">
      <t>タンカ</t>
    </rPh>
    <phoneticPr fontId="2"/>
  </si>
  <si>
    <t>6/12×0.06</t>
    <phoneticPr fontId="2"/>
  </si>
  <si>
    <t>区域面積×単価</t>
    <rPh sb="0" eb="2">
      <t>クイキ</t>
    </rPh>
    <rPh sb="2" eb="4">
      <t>メンセキ</t>
    </rPh>
    <rPh sb="5" eb="7">
      <t>タンカ</t>
    </rPh>
    <phoneticPr fontId="2"/>
  </si>
  <si>
    <t>1F</t>
    <phoneticPr fontId="2"/>
  </si>
  <si>
    <t>構造</t>
    <rPh sb="0" eb="2">
      <t>コウゾウ</t>
    </rPh>
    <phoneticPr fontId="2"/>
  </si>
  <si>
    <t>予備費</t>
    <rPh sb="0" eb="2">
      <t>ヨビ</t>
    </rPh>
    <rPh sb="2" eb="3">
      <t>ヒ</t>
    </rPh>
    <phoneticPr fontId="2"/>
  </si>
  <si>
    <t>ホテル</t>
    <phoneticPr fontId="2"/>
  </si>
  <si>
    <t>番号</t>
    <rPh sb="0" eb="2">
      <t>バンゴウ</t>
    </rPh>
    <phoneticPr fontId="2"/>
  </si>
  <si>
    <t>店舗</t>
    <rPh sb="0" eb="2">
      <t>テンポ</t>
    </rPh>
    <phoneticPr fontId="2"/>
  </si>
  <si>
    <t>合計</t>
    <rPh sb="0" eb="2">
      <t>ゴウケイ</t>
    </rPh>
    <phoneticPr fontId="2"/>
  </si>
  <si>
    <t>道路整備費</t>
    <rPh sb="0" eb="2">
      <t>ドウロ</t>
    </rPh>
    <rPh sb="2" eb="4">
      <t>セイビ</t>
    </rPh>
    <rPh sb="4" eb="5">
      <t>ヒ</t>
    </rPh>
    <phoneticPr fontId="2"/>
  </si>
  <si>
    <t>3Ｆ</t>
    <phoneticPr fontId="2"/>
  </si>
  <si>
    <t>2Ｆ</t>
    <phoneticPr fontId="2"/>
  </si>
  <si>
    <t>用地買収費</t>
    <rPh sb="0" eb="2">
      <t>ヨウチ</t>
    </rPh>
    <rPh sb="2" eb="4">
      <t>バイシュウ</t>
    </rPh>
    <rPh sb="4" eb="5">
      <t>ヒ</t>
    </rPh>
    <phoneticPr fontId="2"/>
  </si>
  <si>
    <t>消費税</t>
    <rPh sb="0" eb="3">
      <t>ショウヒゼイ</t>
    </rPh>
    <phoneticPr fontId="2"/>
  </si>
  <si>
    <t>物件名</t>
    <rPh sb="0" eb="2">
      <t>ブッケン</t>
    </rPh>
    <rPh sb="2" eb="3">
      <t>メイ</t>
    </rPh>
    <phoneticPr fontId="2"/>
  </si>
  <si>
    <t>立地</t>
    <rPh sb="0" eb="2">
      <t>リッチ</t>
    </rPh>
    <phoneticPr fontId="2"/>
  </si>
  <si>
    <t>物件概要</t>
    <rPh sb="0" eb="2">
      <t>ブッケン</t>
    </rPh>
    <rPh sb="2" eb="4">
      <t>ガイヨウ</t>
    </rPh>
    <phoneticPr fontId="2"/>
  </si>
  <si>
    <t>取引事例</t>
    <rPh sb="0" eb="2">
      <t>トリヒキ</t>
    </rPh>
    <rPh sb="2" eb="4">
      <t>ジレイ</t>
    </rPh>
    <phoneticPr fontId="2"/>
  </si>
  <si>
    <t>所在地</t>
    <rPh sb="0" eb="3">
      <t>ショザイチ</t>
    </rPh>
    <phoneticPr fontId="2"/>
  </si>
  <si>
    <t>最寄駅</t>
    <rPh sb="0" eb="2">
      <t>モヨ</t>
    </rPh>
    <rPh sb="2" eb="3">
      <t>エキ</t>
    </rPh>
    <phoneticPr fontId="2"/>
  </si>
  <si>
    <t>駅徒歩</t>
    <rPh sb="0" eb="1">
      <t>エキ</t>
    </rPh>
    <rPh sb="1" eb="3">
      <t>トホ</t>
    </rPh>
    <phoneticPr fontId="2"/>
  </si>
  <si>
    <t>総戸数</t>
    <rPh sb="0" eb="1">
      <t>ソウ</t>
    </rPh>
    <rPh sb="1" eb="3">
      <t>コスウ</t>
    </rPh>
    <phoneticPr fontId="2"/>
  </si>
  <si>
    <t>規模</t>
    <rPh sb="0" eb="2">
      <t>キボ</t>
    </rPh>
    <phoneticPr fontId="2"/>
  </si>
  <si>
    <t>完成時期</t>
    <rPh sb="0" eb="2">
      <t>カンセイ</t>
    </rPh>
    <rPh sb="2" eb="4">
      <t>ジキ</t>
    </rPh>
    <phoneticPr fontId="2"/>
  </si>
  <si>
    <t>分譲価格</t>
    <rPh sb="0" eb="2">
      <t>ブンジョウ</t>
    </rPh>
    <rPh sb="2" eb="4">
      <t>カカク</t>
    </rPh>
    <phoneticPr fontId="2"/>
  </si>
  <si>
    <t>間取り</t>
    <rPh sb="0" eb="2">
      <t>マド</t>
    </rPh>
    <phoneticPr fontId="2"/>
  </si>
  <si>
    <t>-</t>
    <phoneticPr fontId="2"/>
  </si>
  <si>
    <t>築年数</t>
    <rPh sb="0" eb="1">
      <t>チク</t>
    </rPh>
    <rPh sb="1" eb="3">
      <t>ネンスウ</t>
    </rPh>
    <phoneticPr fontId="2"/>
  </si>
  <si>
    <t>賃料</t>
    <rPh sb="0" eb="2">
      <t>チンリョウ</t>
    </rPh>
    <phoneticPr fontId="2"/>
  </si>
  <si>
    <t>（㎡）</t>
    <phoneticPr fontId="2"/>
  </si>
  <si>
    <t>（千円）</t>
    <rPh sb="1" eb="2">
      <t>セン</t>
    </rPh>
    <rPh sb="2" eb="3">
      <t>エン</t>
    </rPh>
    <phoneticPr fontId="2"/>
  </si>
  <si>
    <t>（千円/月）</t>
    <phoneticPr fontId="2"/>
  </si>
  <si>
    <t>■周辺賃貸状況</t>
    <rPh sb="1" eb="3">
      <t>シュウヘン</t>
    </rPh>
    <rPh sb="3" eb="5">
      <t>チンタイ</t>
    </rPh>
    <rPh sb="5" eb="7">
      <t>ジョウキョウ</t>
    </rPh>
    <phoneticPr fontId="2"/>
  </si>
  <si>
    <t>項目</t>
    <rPh sb="0" eb="2">
      <t>コウモク</t>
    </rPh>
    <phoneticPr fontId="2"/>
  </si>
  <si>
    <t>耐用年数</t>
  </si>
  <si>
    <t>経過年数</t>
  </si>
  <si>
    <t>現価率</t>
  </si>
  <si>
    <t>木   造</t>
  </si>
  <si>
    <t>非 木 造</t>
  </si>
  <si>
    <t>Ｓ造</t>
    <rPh sb="1" eb="2">
      <t>ゾウ</t>
    </rPh>
    <phoneticPr fontId="2"/>
  </si>
  <si>
    <t>再築率</t>
  </si>
  <si>
    <t>モデル事業費の算定</t>
    <rPh sb="3" eb="5">
      <t>ジギョウ</t>
    </rPh>
    <rPh sb="5" eb="6">
      <t>ヒ</t>
    </rPh>
    <rPh sb="7" eb="9">
      <t>サンテイ</t>
    </rPh>
    <phoneticPr fontId="2"/>
  </si>
  <si>
    <t>概算補助金の算定</t>
    <rPh sb="0" eb="2">
      <t>ガイサン</t>
    </rPh>
    <rPh sb="2" eb="5">
      <t>ホジョキン</t>
    </rPh>
    <rPh sb="6" eb="8">
      <t>サンテイ</t>
    </rPh>
    <phoneticPr fontId="2"/>
  </si>
  <si>
    <t>事業費</t>
    <rPh sb="0" eb="2">
      <t>ジギョウ</t>
    </rPh>
    <rPh sb="2" eb="3">
      <t>ヒ</t>
    </rPh>
    <phoneticPr fontId="2"/>
  </si>
  <si>
    <t>算定根拠</t>
    <rPh sb="0" eb="2">
      <t>サンテイ</t>
    </rPh>
    <rPh sb="2" eb="4">
      <t>コンキョ</t>
    </rPh>
    <phoneticPr fontId="2"/>
  </si>
  <si>
    <t>補助対象額</t>
    <rPh sb="0" eb="2">
      <t>ホジョ</t>
    </rPh>
    <rPh sb="2" eb="4">
      <t>タイショウ</t>
    </rPh>
    <rPh sb="4" eb="5">
      <t>ガク</t>
    </rPh>
    <phoneticPr fontId="2"/>
  </si>
  <si>
    <t>建築物除却費（木構造）</t>
    <rPh sb="0" eb="3">
      <t>ケンチクブツ</t>
    </rPh>
    <rPh sb="3" eb="5">
      <t>ジョキャク</t>
    </rPh>
    <rPh sb="5" eb="6">
      <t>ヒ</t>
    </rPh>
    <rPh sb="7" eb="8">
      <t>モク</t>
    </rPh>
    <rPh sb="8" eb="10">
      <t>コウゾウ</t>
    </rPh>
    <phoneticPr fontId="2"/>
  </si>
  <si>
    <t>∑①～④</t>
    <phoneticPr fontId="2"/>
  </si>
  <si>
    <t>うち土地分</t>
    <rPh sb="2" eb="4">
      <t>トチ</t>
    </rPh>
    <rPh sb="4" eb="5">
      <t>ブン</t>
    </rPh>
    <phoneticPr fontId="2"/>
  </si>
  <si>
    <t>うち建物分</t>
    <rPh sb="2" eb="4">
      <t>タテモノ</t>
    </rPh>
    <rPh sb="4" eb="5">
      <t>ブン</t>
    </rPh>
    <phoneticPr fontId="2"/>
  </si>
  <si>
    <t>空地整備費</t>
    <rPh sb="0" eb="2">
      <t>クウチ</t>
    </rPh>
    <rPh sb="2" eb="4">
      <t>セイビ</t>
    </rPh>
    <rPh sb="4" eb="5">
      <t>ヒ</t>
    </rPh>
    <phoneticPr fontId="2"/>
  </si>
  <si>
    <t>建築物除却費（簡易耐火構造）</t>
    <rPh sb="7" eb="9">
      <t>カンイ</t>
    </rPh>
    <rPh sb="9" eb="11">
      <t>タイカ</t>
    </rPh>
    <phoneticPr fontId="2"/>
  </si>
  <si>
    <t>建築物除却費（耐火構造）</t>
    <rPh sb="7" eb="9">
      <t>タイカ</t>
    </rPh>
    <phoneticPr fontId="2"/>
  </si>
  <si>
    <t>上記金額×６ヶ月×６％</t>
    <rPh sb="0" eb="2">
      <t>ジョウキ</t>
    </rPh>
    <rPh sb="2" eb="4">
      <t>キンガク</t>
    </rPh>
    <rPh sb="7" eb="8">
      <t>ゲツ</t>
    </rPh>
    <phoneticPr fontId="2"/>
  </si>
  <si>
    <t>借入金利</t>
    <rPh sb="0" eb="1">
      <t>シャク</t>
    </rPh>
    <rPh sb="1" eb="2">
      <t>ニュウ</t>
    </rPh>
    <rPh sb="2" eb="4">
      <t>キンリ</t>
    </rPh>
    <phoneticPr fontId="2"/>
  </si>
  <si>
    <t>公共負担分</t>
    <rPh sb="0" eb="2">
      <t>コウキョウ</t>
    </rPh>
    <rPh sb="2" eb="5">
      <t>フタンブン</t>
    </rPh>
    <phoneticPr fontId="2"/>
  </si>
  <si>
    <t>従前専有面積（残留）×単価</t>
    <rPh sb="0" eb="2">
      <t>ジュウゼン</t>
    </rPh>
    <rPh sb="2" eb="4">
      <t>センユウ</t>
    </rPh>
    <rPh sb="4" eb="6">
      <t>メンセキ</t>
    </rPh>
    <rPh sb="7" eb="9">
      <t>ザンリュウ</t>
    </rPh>
    <rPh sb="11" eb="13">
      <t>タンカ</t>
    </rPh>
    <phoneticPr fontId="2"/>
  </si>
  <si>
    <t>従前専有面積（転出）×単価</t>
    <rPh sb="0" eb="2">
      <t>ジュウゼン</t>
    </rPh>
    <rPh sb="2" eb="4">
      <t>センユウ</t>
    </rPh>
    <rPh sb="4" eb="6">
      <t>メンセキ</t>
    </rPh>
    <rPh sb="7" eb="9">
      <t>テンシュツ</t>
    </rPh>
    <rPh sb="11" eb="13">
      <t>タンカ</t>
    </rPh>
    <phoneticPr fontId="2"/>
  </si>
  <si>
    <t>道路の付け替え部分相当（図上計測）</t>
    <rPh sb="0" eb="2">
      <t>ドウロ</t>
    </rPh>
    <rPh sb="3" eb="4">
      <t>ツ</t>
    </rPh>
    <rPh sb="5" eb="6">
      <t>カ</t>
    </rPh>
    <rPh sb="7" eb="9">
      <t>ブブン</t>
    </rPh>
    <rPh sb="9" eb="11">
      <t>ソウトウ</t>
    </rPh>
    <rPh sb="12" eb="14">
      <t>ズジョウ</t>
    </rPh>
    <rPh sb="14" eb="16">
      <t>ケイソク</t>
    </rPh>
    <phoneticPr fontId="2"/>
  </si>
  <si>
    <t>従前資産総額(権変)</t>
    <rPh sb="0" eb="2">
      <t>ジュウゼン</t>
    </rPh>
    <rPh sb="2" eb="4">
      <t>シサン</t>
    </rPh>
    <rPh sb="4" eb="6">
      <t>ソウガク</t>
    </rPh>
    <rPh sb="7" eb="8">
      <t>ケン</t>
    </rPh>
    <rPh sb="8" eb="9">
      <t>ペン</t>
    </rPh>
    <phoneticPr fontId="2"/>
  </si>
  <si>
    <t>建物補償費（転出）</t>
    <rPh sb="0" eb="2">
      <t>タテモノ</t>
    </rPh>
    <rPh sb="2" eb="4">
      <t>ホショウ</t>
    </rPh>
    <rPh sb="4" eb="5">
      <t>ヒ</t>
    </rPh>
    <rPh sb="6" eb="8">
      <t>テンシュツ</t>
    </rPh>
    <phoneticPr fontId="2"/>
  </si>
  <si>
    <t>建物補償相当額（権変）</t>
    <rPh sb="0" eb="2">
      <t>タテモノ</t>
    </rPh>
    <rPh sb="2" eb="4">
      <t>ホショウ</t>
    </rPh>
    <rPh sb="4" eb="6">
      <t>ソウトウ</t>
    </rPh>
    <rPh sb="6" eb="7">
      <t>ガク</t>
    </rPh>
    <rPh sb="8" eb="9">
      <t>ケン</t>
    </rPh>
    <rPh sb="9" eb="10">
      <t>ペン</t>
    </rPh>
    <phoneticPr fontId="2"/>
  </si>
  <si>
    <t>非補助対象</t>
    <rPh sb="0" eb="1">
      <t>ヒ</t>
    </rPh>
    <rPh sb="1" eb="3">
      <t>ホジョ</t>
    </rPh>
    <rPh sb="3" eb="5">
      <t>タイショウ</t>
    </rPh>
    <phoneticPr fontId="2"/>
  </si>
  <si>
    <t>従前延床面積（木構造）×単価</t>
    <rPh sb="0" eb="2">
      <t>ジュウゼン</t>
    </rPh>
    <rPh sb="2" eb="3">
      <t>ノ</t>
    </rPh>
    <rPh sb="3" eb="4">
      <t>ユカ</t>
    </rPh>
    <rPh sb="4" eb="6">
      <t>メンセキ</t>
    </rPh>
    <rPh sb="7" eb="8">
      <t>モク</t>
    </rPh>
    <rPh sb="8" eb="10">
      <t>コウゾウ</t>
    </rPh>
    <rPh sb="12" eb="14">
      <t>タンカ</t>
    </rPh>
    <phoneticPr fontId="2"/>
  </si>
  <si>
    <t>従前延床面積（簡易耐火構造）×単価</t>
    <rPh sb="7" eb="9">
      <t>カンイ</t>
    </rPh>
    <rPh sb="9" eb="11">
      <t>タイカ</t>
    </rPh>
    <rPh sb="11" eb="13">
      <t>コウゾウ</t>
    </rPh>
    <phoneticPr fontId="2"/>
  </si>
  <si>
    <t>従前延床面積（耐火構造）×単価</t>
    <rPh sb="7" eb="9">
      <t>タイカ</t>
    </rPh>
    <rPh sb="9" eb="11">
      <t>コウゾウ</t>
    </rPh>
    <phoneticPr fontId="2"/>
  </si>
  <si>
    <t>4F</t>
    <phoneticPr fontId="2"/>
  </si>
  <si>
    <t>5F</t>
    <phoneticPr fontId="2"/>
  </si>
  <si>
    <t>6F</t>
    <phoneticPr fontId="2"/>
  </si>
  <si>
    <t>7F</t>
    <phoneticPr fontId="2"/>
  </si>
  <si>
    <t>8F</t>
    <phoneticPr fontId="2"/>
  </si>
  <si>
    <t>9F</t>
    <phoneticPr fontId="2"/>
  </si>
  <si>
    <t>10F</t>
    <phoneticPr fontId="2"/>
  </si>
  <si>
    <t>11F</t>
    <phoneticPr fontId="2"/>
  </si>
  <si>
    <t>12F</t>
    <phoneticPr fontId="2"/>
  </si>
  <si>
    <t>プレミスト香林坊</t>
    <rPh sb="5" eb="8">
      <t>コウリンボウ</t>
    </rPh>
    <phoneticPr fontId="2"/>
  </si>
  <si>
    <t>P115台タワー96平面17客用2</t>
    <rPh sb="4" eb="5">
      <t>ダイ</t>
    </rPh>
    <phoneticPr fontId="2"/>
  </si>
  <si>
    <t>3LDK</t>
  </si>
  <si>
    <t>2LDK</t>
  </si>
  <si>
    <t>管理</t>
    <rPh sb="0" eb="2">
      <t>カンリ</t>
    </rPh>
    <phoneticPr fontId="2"/>
  </si>
  <si>
    <t>アパコミュニティ</t>
  </si>
  <si>
    <t>大和ハウス</t>
    <rPh sb="0" eb="2">
      <t>ダイワ</t>
    </rPh>
    <phoneticPr fontId="2"/>
  </si>
  <si>
    <t>プレミア金沢中央通り</t>
    <rPh sb="4" eb="6">
      <t>カナザワ</t>
    </rPh>
    <rPh sb="6" eb="8">
      <t>チュウオウ</t>
    </rPh>
    <rPh sb="8" eb="9">
      <t>ドオ</t>
    </rPh>
    <phoneticPr fontId="2"/>
  </si>
  <si>
    <t>参考</t>
    <rPh sb="0" eb="2">
      <t>サンコウ</t>
    </rPh>
    <phoneticPr fontId="2"/>
  </si>
  <si>
    <t>1.3割戻し</t>
    <rPh sb="3" eb="5">
      <t>ワリモド</t>
    </rPh>
    <phoneticPr fontId="2"/>
  </si>
  <si>
    <t>P103台</t>
    <phoneticPr fontId="2"/>
  </si>
  <si>
    <t>RC10階地下1</t>
    <phoneticPr fontId="2"/>
  </si>
  <si>
    <t>RC14階地下1、</t>
    <phoneticPr fontId="2"/>
  </si>
  <si>
    <t>2014.3</t>
    <phoneticPr fontId="2"/>
  </si>
  <si>
    <t>中央通町16</t>
  </si>
  <si>
    <t>片町１-１-１</t>
    <phoneticPr fontId="2"/>
  </si>
  <si>
    <t>【6】周辺の取引事例（新築住宅）</t>
    <rPh sb="3" eb="5">
      <t>シュウヘン</t>
    </rPh>
    <rPh sb="6" eb="8">
      <t>トリヒキ</t>
    </rPh>
    <rPh sb="8" eb="10">
      <t>ジレイ</t>
    </rPh>
    <rPh sb="11" eb="13">
      <t>シンチク</t>
    </rPh>
    <rPh sb="13" eb="15">
      <t>ジュウタク</t>
    </rPh>
    <phoneticPr fontId="2"/>
  </si>
  <si>
    <r>
      <t>2016.2</t>
    </r>
    <r>
      <rPr>
        <sz val="10"/>
        <color indexed="8"/>
        <rFont val="ＭＳ Ｐゴシック"/>
        <family val="3"/>
        <charset val="128"/>
      </rPr>
      <t>予定</t>
    </r>
    <rPh sb="6" eb="8">
      <t>ヨテイ</t>
    </rPh>
    <phoneticPr fontId="2"/>
  </si>
  <si>
    <t>片町１</t>
  </si>
  <si>
    <t>5階建 / 2階</t>
  </si>
  <si>
    <t>8階建 / 5階</t>
  </si>
  <si>
    <t>おすすめ業種</t>
  </si>
  <si>
    <t>バー・クラブ・スナックなど</t>
  </si>
  <si>
    <t>カフェ・喫茶店　バー・クラブ・スナックなど</t>
  </si>
  <si>
    <t>飲食・美容室・雑貨等</t>
    <rPh sb="0" eb="2">
      <t>インショク</t>
    </rPh>
    <rPh sb="3" eb="6">
      <t>ビヨウシツ</t>
    </rPh>
    <rPh sb="7" eb="9">
      <t>ザッカ</t>
    </rPh>
    <rPh sb="9" eb="10">
      <t>トウ</t>
    </rPh>
    <phoneticPr fontId="2"/>
  </si>
  <si>
    <t>片町２</t>
  </si>
  <si>
    <t>9階建 / 4階</t>
  </si>
  <si>
    <t>事務所・店舗向け　飲食不可</t>
    <rPh sb="9" eb="11">
      <t>インショク</t>
    </rPh>
    <rPh sb="11" eb="13">
      <t>フカ</t>
    </rPh>
    <phoneticPr fontId="2"/>
  </si>
  <si>
    <t>香林坊永和ビル※区域内</t>
    <rPh sb="0" eb="3">
      <t>コウリンボウ</t>
    </rPh>
    <rPh sb="3" eb="5">
      <t>エイワ</t>
    </rPh>
    <rPh sb="8" eb="11">
      <t>クイキナイ</t>
    </rPh>
    <phoneticPr fontId="2"/>
  </si>
  <si>
    <t>RC10地下1/B1</t>
    <phoneticPr fontId="2"/>
  </si>
  <si>
    <t>②概算収支総括表</t>
    <rPh sb="1" eb="3">
      <t>ガイサン</t>
    </rPh>
    <rPh sb="3" eb="5">
      <t>シュウシ</t>
    </rPh>
    <rPh sb="5" eb="8">
      <t>ソウカツヒョウ</t>
    </rPh>
    <phoneticPr fontId="2"/>
  </si>
  <si>
    <t>③総床原価格</t>
    <rPh sb="1" eb="2">
      <t>ソウ</t>
    </rPh>
    <rPh sb="2" eb="3">
      <t>ユカ</t>
    </rPh>
    <rPh sb="3" eb="5">
      <t>ゲンカ</t>
    </rPh>
    <rPh sb="5" eb="6">
      <t>カク</t>
    </rPh>
    <phoneticPr fontId="2"/>
  </si>
  <si>
    <t>工事費（概算・専有）</t>
    <rPh sb="0" eb="2">
      <t>コウジ</t>
    </rPh>
    <rPh sb="2" eb="3">
      <t>ヒ</t>
    </rPh>
    <rPh sb="4" eb="6">
      <t>ガイサン</t>
    </rPh>
    <rPh sb="7" eb="9">
      <t>センユウ</t>
    </rPh>
    <phoneticPr fontId="2"/>
  </si>
  <si>
    <t>-</t>
    <phoneticPr fontId="2"/>
  </si>
  <si>
    <t>総床原価</t>
    <rPh sb="0" eb="1">
      <t>ソウ</t>
    </rPh>
    <rPh sb="1" eb="2">
      <t>ユカ</t>
    </rPh>
    <rPh sb="2" eb="4">
      <t>ゲンカ</t>
    </rPh>
    <phoneticPr fontId="2"/>
  </si>
  <si>
    <t>調査計画費</t>
    <rPh sb="0" eb="2">
      <t>チョウサ</t>
    </rPh>
    <rPh sb="2" eb="4">
      <t>ケイカク</t>
    </rPh>
    <rPh sb="4" eb="5">
      <t>ヒ</t>
    </rPh>
    <phoneticPr fontId="2"/>
  </si>
  <si>
    <t>土地整備費・補償費</t>
    <rPh sb="0" eb="2">
      <t>トチ</t>
    </rPh>
    <rPh sb="2" eb="4">
      <t>セイビ</t>
    </rPh>
    <rPh sb="4" eb="5">
      <t>ヒ</t>
    </rPh>
    <rPh sb="6" eb="8">
      <t>ホショウ</t>
    </rPh>
    <rPh sb="8" eb="9">
      <t>ヒ</t>
    </rPh>
    <phoneticPr fontId="2"/>
  </si>
  <si>
    <t>保留床処分金</t>
    <rPh sb="0" eb="2">
      <t>ホリュウ</t>
    </rPh>
    <rPh sb="2" eb="3">
      <t>ショウ</t>
    </rPh>
    <rPh sb="3" eb="5">
      <t>ショブン</t>
    </rPh>
    <rPh sb="5" eb="6">
      <t>キン</t>
    </rPh>
    <phoneticPr fontId="2"/>
  </si>
  <si>
    <t>従前資産</t>
    <rPh sb="0" eb="2">
      <t>ジュウゼン</t>
    </rPh>
    <rPh sb="2" eb="4">
      <t>シサン</t>
    </rPh>
    <phoneticPr fontId="2"/>
  </si>
  <si>
    <t>予備費</t>
    <rPh sb="0" eb="3">
      <t>ヨビヒ</t>
    </rPh>
    <phoneticPr fontId="2"/>
  </si>
  <si>
    <t>事務費・借入金等</t>
    <rPh sb="0" eb="3">
      <t>ジムヒ</t>
    </rPh>
    <rPh sb="4" eb="7">
      <t>シャクニュウキン</t>
    </rPh>
    <rPh sb="7" eb="8">
      <t>トウ</t>
    </rPh>
    <phoneticPr fontId="2"/>
  </si>
  <si>
    <t>商業（保留床）</t>
    <rPh sb="0" eb="2">
      <t>ショウギョウ</t>
    </rPh>
    <rPh sb="3" eb="5">
      <t>ホリュウ</t>
    </rPh>
    <rPh sb="5" eb="6">
      <t>ユカ</t>
    </rPh>
    <phoneticPr fontId="2"/>
  </si>
  <si>
    <t>直接人件費(A)＝標準業務人･時間数(ｲ)×（日額/8時間）(ﾛ)</t>
    <rPh sb="0" eb="2">
      <t>チョクセツ</t>
    </rPh>
    <rPh sb="2" eb="5">
      <t>ジンケンヒ</t>
    </rPh>
    <rPh sb="9" eb="11">
      <t>ヒョウジュン</t>
    </rPh>
    <rPh sb="11" eb="13">
      <t>ギョウム</t>
    </rPh>
    <rPh sb="13" eb="14">
      <t>ニン</t>
    </rPh>
    <rPh sb="15" eb="17">
      <t>ジカン</t>
    </rPh>
    <rPh sb="17" eb="18">
      <t>スウ</t>
    </rPh>
    <rPh sb="23" eb="25">
      <t>ニチガク</t>
    </rPh>
    <rPh sb="27" eb="29">
      <t>ジカン</t>
    </rPh>
    <phoneticPr fontId="2"/>
  </si>
  <si>
    <t>（単位：人・時間）</t>
    <rPh sb="1" eb="3">
      <t>タンイ</t>
    </rPh>
    <rPh sb="4" eb="5">
      <t>ニン</t>
    </rPh>
    <rPh sb="6" eb="8">
      <t>ジカン</t>
    </rPh>
    <phoneticPr fontId="2"/>
  </si>
  <si>
    <t>床面積</t>
    <rPh sb="0" eb="3">
      <t>ユカメンセキ</t>
    </rPh>
    <phoneticPr fontId="2"/>
  </si>
  <si>
    <t xml:space="preserve"> ㎡</t>
    <phoneticPr fontId="2"/>
  </si>
  <si>
    <t>標準業務人
時間数</t>
    <rPh sb="0" eb="2">
      <t>ヒョウジュン</t>
    </rPh>
    <rPh sb="2" eb="4">
      <t>ギョウム</t>
    </rPh>
    <rPh sb="4" eb="5">
      <t>ニン</t>
    </rPh>
    <rPh sb="6" eb="9">
      <t>ジカンスウ</t>
    </rPh>
    <phoneticPr fontId="2"/>
  </si>
  <si>
    <t>（単位：㎡）</t>
    <rPh sb="1" eb="3">
      <t>タンイ</t>
    </rPh>
    <phoneticPr fontId="2"/>
  </si>
  <si>
    <t>標準
業務人
・
時間数</t>
    <rPh sb="0" eb="2">
      <t>ヒョウジュン</t>
    </rPh>
    <rPh sb="3" eb="5">
      <t>ギョウム</t>
    </rPh>
    <rPh sb="5" eb="6">
      <t>ニン</t>
    </rPh>
    <rPh sb="9" eb="11">
      <t>ジカン</t>
    </rPh>
    <rPh sb="11" eb="12">
      <t>スウ</t>
    </rPh>
    <phoneticPr fontId="2"/>
  </si>
  <si>
    <t>(一)
設計</t>
    <rPh sb="1" eb="2">
      <t>１</t>
    </rPh>
    <rPh sb="4" eb="6">
      <t>セッケイ</t>
    </rPh>
    <phoneticPr fontId="2"/>
  </si>
  <si>
    <t>総合</t>
    <rPh sb="0" eb="2">
      <t>ソウゴウ</t>
    </rPh>
    <phoneticPr fontId="2"/>
  </si>
  <si>
    <t>設備</t>
    <rPh sb="0" eb="2">
      <t>セツビ</t>
    </rPh>
    <phoneticPr fontId="2"/>
  </si>
  <si>
    <t>・</t>
    <phoneticPr fontId="2"/>
  </si>
  <si>
    <t>(ｲ)</t>
    <phoneticPr fontId="2"/>
  </si>
  <si>
    <t>時間／日</t>
    <rPh sb="0" eb="3">
      <t>ジカン・</t>
    </rPh>
    <rPh sb="3" eb="4">
      <t>ビ</t>
    </rPh>
    <phoneticPr fontId="2"/>
  </si>
  <si>
    <t>人･日</t>
    <rPh sb="0" eb="1">
      <t>ニン</t>
    </rPh>
    <rPh sb="2" eb="3">
      <t>ニチ</t>
    </rPh>
    <phoneticPr fontId="2"/>
  </si>
  <si>
    <t>(ﾛ)</t>
    <phoneticPr fontId="2"/>
  </si>
  <si>
    <t>千円</t>
    <rPh sb="0" eb="2">
      <t>センエン</t>
    </rPh>
    <phoneticPr fontId="2"/>
  </si>
  <si>
    <t>直接人件費(A)：</t>
    <rPh sb="0" eb="2">
      <t>チョクセツ</t>
    </rPh>
    <rPh sb="2" eb="5">
      <t>ジンケンヒ</t>
    </rPh>
    <phoneticPr fontId="2"/>
  </si>
  <si>
    <t>直接･間接経費(B)：</t>
    <rPh sb="0" eb="2">
      <t>チョクセツ</t>
    </rPh>
    <rPh sb="3" eb="5">
      <t>カンセツ</t>
    </rPh>
    <rPh sb="5" eb="7">
      <t>ショケイヒ</t>
    </rPh>
    <phoneticPr fontId="2"/>
  </si>
  <si>
    <t>直接人件費</t>
    <rPh sb="0" eb="2">
      <t>チョクセツ</t>
    </rPh>
    <rPh sb="2" eb="5">
      <t>ジンケンヒ</t>
    </rPh>
    <phoneticPr fontId="2"/>
  </si>
  <si>
    <t>技術料等経費(C)：</t>
    <rPh sb="0" eb="2">
      <t>ギジュツ</t>
    </rPh>
    <rPh sb="2" eb="3">
      <t>リョウ</t>
    </rPh>
    <rPh sb="3" eb="4">
      <t>トウ</t>
    </rPh>
    <rPh sb="4" eb="6">
      <t>ケイヒ</t>
    </rPh>
    <phoneticPr fontId="2"/>
  </si>
  <si>
    <t>（A＋B）</t>
    <phoneticPr fontId="2"/>
  </si>
  <si>
    <t>消費税(D)：</t>
    <rPh sb="0" eb="3">
      <t>ショウヒゼイ</t>
    </rPh>
    <phoneticPr fontId="2"/>
  </si>
  <si>
    <t>年度</t>
    <rPh sb="0" eb="2">
      <t>ネンド</t>
    </rPh>
    <phoneticPr fontId="2"/>
  </si>
  <si>
    <t>事業進捗</t>
    <rPh sb="0" eb="2">
      <t>ジギョウ</t>
    </rPh>
    <rPh sb="2" eb="4">
      <t>シンチョク</t>
    </rPh>
    <phoneticPr fontId="2"/>
  </si>
  <si>
    <t>除却～
工事着工</t>
    <rPh sb="0" eb="2">
      <t>ジョキャク</t>
    </rPh>
    <rPh sb="4" eb="6">
      <t>コウジ</t>
    </rPh>
    <rPh sb="6" eb="8">
      <t>チャッコウ</t>
    </rPh>
    <phoneticPr fontId="2"/>
  </si>
  <si>
    <t>工事～
竣工</t>
    <rPh sb="0" eb="2">
      <t>コウジ</t>
    </rPh>
    <rPh sb="4" eb="6">
      <t>シュンコウ</t>
    </rPh>
    <phoneticPr fontId="2"/>
  </si>
  <si>
    <t>通損補償</t>
    <rPh sb="0" eb="1">
      <t>ツウ</t>
    </rPh>
    <rPh sb="1" eb="2">
      <t>ソン</t>
    </rPh>
    <rPh sb="2" eb="4">
      <t>ホショウ</t>
    </rPh>
    <phoneticPr fontId="2"/>
  </si>
  <si>
    <t>小計</t>
    <rPh sb="0" eb="2">
      <t>ショウケイ</t>
    </rPh>
    <phoneticPr fontId="2"/>
  </si>
  <si>
    <t>※その他調査費：年度別調査設計費の按分</t>
    <rPh sb="3" eb="4">
      <t>タ</t>
    </rPh>
    <rPh sb="4" eb="6">
      <t>チョウサ</t>
    </rPh>
    <rPh sb="6" eb="7">
      <t>ヒ</t>
    </rPh>
    <rPh sb="8" eb="10">
      <t>ネンド</t>
    </rPh>
    <rPh sb="10" eb="11">
      <t>ベツ</t>
    </rPh>
    <rPh sb="11" eb="13">
      <t>チョウサ</t>
    </rPh>
    <rPh sb="13" eb="15">
      <t>セッケイ</t>
    </rPh>
    <rPh sb="15" eb="16">
      <t>ヒ</t>
    </rPh>
    <rPh sb="17" eb="19">
      <t>アンブン</t>
    </rPh>
    <phoneticPr fontId="2"/>
  </si>
  <si>
    <t>国負担分</t>
    <rPh sb="0" eb="1">
      <t>クニ</t>
    </rPh>
    <rPh sb="1" eb="4">
      <t>フタンブン</t>
    </rPh>
    <phoneticPr fontId="2"/>
  </si>
  <si>
    <t>県負担分</t>
    <rPh sb="0" eb="1">
      <t>ケン</t>
    </rPh>
    <phoneticPr fontId="2"/>
  </si>
  <si>
    <t>市負担分</t>
    <rPh sb="0" eb="1">
      <t>シ</t>
    </rPh>
    <phoneticPr fontId="2"/>
  </si>
  <si>
    <t>※建物買取相当額に関する補助金は工事の出来高で按分</t>
    <rPh sb="1" eb="3">
      <t>タテモノ</t>
    </rPh>
    <rPh sb="3" eb="4">
      <t>カ</t>
    </rPh>
    <rPh sb="4" eb="5">
      <t>トリ</t>
    </rPh>
    <rPh sb="5" eb="7">
      <t>ソウトウ</t>
    </rPh>
    <rPh sb="7" eb="8">
      <t>ガク</t>
    </rPh>
    <rPh sb="9" eb="10">
      <t>カン</t>
    </rPh>
    <rPh sb="12" eb="15">
      <t>ホジョキン</t>
    </rPh>
    <rPh sb="16" eb="18">
      <t>コウジ</t>
    </rPh>
    <rPh sb="19" eb="22">
      <t>デキダカ</t>
    </rPh>
    <rPh sb="23" eb="25">
      <t>アンブン</t>
    </rPh>
    <phoneticPr fontId="2"/>
  </si>
  <si>
    <t>※工事費に関する補助金は出来高で按分</t>
    <rPh sb="1" eb="4">
      <t>コウジヒ</t>
    </rPh>
    <rPh sb="5" eb="6">
      <t>カン</t>
    </rPh>
    <rPh sb="8" eb="11">
      <t>ホジョキン</t>
    </rPh>
    <rPh sb="12" eb="15">
      <t>デキダカ</t>
    </rPh>
    <rPh sb="16" eb="18">
      <t>アンブン</t>
    </rPh>
    <phoneticPr fontId="2"/>
  </si>
  <si>
    <t>※県負担分：国庫補助対象の1/10</t>
    <rPh sb="1" eb="2">
      <t>ケン</t>
    </rPh>
    <rPh sb="2" eb="5">
      <t>フタンブン</t>
    </rPh>
    <rPh sb="6" eb="8">
      <t>コッコ</t>
    </rPh>
    <rPh sb="8" eb="10">
      <t>ホジョ</t>
    </rPh>
    <rPh sb="10" eb="12">
      <t>タイショウ</t>
    </rPh>
    <phoneticPr fontId="2"/>
  </si>
  <si>
    <t>～都市計画決定</t>
    <rPh sb="1" eb="3">
      <t>トシ</t>
    </rPh>
    <rPh sb="3" eb="5">
      <t>ケイカク</t>
    </rPh>
    <rPh sb="5" eb="7">
      <t>ケッテイ</t>
    </rPh>
    <phoneticPr fontId="2"/>
  </si>
  <si>
    <t>～組合設立</t>
    <rPh sb="1" eb="3">
      <t>クミアイ</t>
    </rPh>
    <rPh sb="3" eb="5">
      <t>セツリツ</t>
    </rPh>
    <phoneticPr fontId="2"/>
  </si>
  <si>
    <t>～権変認可</t>
    <rPh sb="1" eb="3">
      <t>ケンペン</t>
    </rPh>
    <rPh sb="3" eb="5">
      <t>ニンカ</t>
    </rPh>
    <phoneticPr fontId="2"/>
  </si>
  <si>
    <t>事業計画作成費</t>
  </si>
  <si>
    <t>基本設計費</t>
  </si>
  <si>
    <t>地盤調査費</t>
  </si>
  <si>
    <t>建築設計費</t>
  </si>
  <si>
    <t>権利変換計画作成費</t>
  </si>
  <si>
    <t>その他調査費</t>
  </si>
  <si>
    <t>整地費</t>
  </si>
  <si>
    <t>建物補償費</t>
  </si>
  <si>
    <t>予備費</t>
  </si>
  <si>
    <t>調査設計計画費</t>
  </si>
  <si>
    <t>土地整備費</t>
  </si>
  <si>
    <t>補償費</t>
  </si>
  <si>
    <t>工事費</t>
  </si>
  <si>
    <t>建築物除却費</t>
    <phoneticPr fontId="2"/>
  </si>
  <si>
    <r>
      <t>用地補償費</t>
    </r>
    <r>
      <rPr>
        <i/>
        <sz val="8"/>
        <rFont val="ＭＳ Ｐゴシック"/>
        <family val="3"/>
        <charset val="128"/>
      </rPr>
      <t>（利息相当分を含む）</t>
    </r>
    <rPh sb="6" eb="8">
      <t>リソク</t>
    </rPh>
    <rPh sb="8" eb="11">
      <t>ソウトウブン</t>
    </rPh>
    <rPh sb="12" eb="13">
      <t>フク</t>
    </rPh>
    <phoneticPr fontId="2"/>
  </si>
  <si>
    <t>補助負担
内訳</t>
    <rPh sb="0" eb="2">
      <t>ホジョ</t>
    </rPh>
    <rPh sb="2" eb="4">
      <t>フタン</t>
    </rPh>
    <rPh sb="5" eb="7">
      <t>ウチワケ</t>
    </rPh>
    <phoneticPr fontId="2"/>
  </si>
  <si>
    <t>事務費（コーディネート費）</t>
    <rPh sb="0" eb="3">
      <t>ジムヒ</t>
    </rPh>
    <rPh sb="11" eb="12">
      <t>ヒ</t>
    </rPh>
    <phoneticPr fontId="2"/>
  </si>
  <si>
    <t>工事管理費</t>
    <rPh sb="0" eb="2">
      <t>コウジ</t>
    </rPh>
    <rPh sb="2" eb="5">
      <t>カンリヒ</t>
    </rPh>
    <phoneticPr fontId="2"/>
  </si>
  <si>
    <t>消費税</t>
    <rPh sb="0" eb="3">
      <t>ショウヒゼイ</t>
    </rPh>
    <phoneticPr fontId="14"/>
  </si>
  <si>
    <t>従前資産参照</t>
    <rPh sb="0" eb="2">
      <t>ジュウゼン</t>
    </rPh>
    <rPh sb="2" eb="4">
      <t>シサン</t>
    </rPh>
    <rPh sb="4" eb="6">
      <t>サンショウ</t>
    </rPh>
    <phoneticPr fontId="2"/>
  </si>
  <si>
    <t>仮店舗補償</t>
    <rPh sb="0" eb="3">
      <t>カリテンポ</t>
    </rPh>
    <rPh sb="3" eb="5">
      <t>ホショウ</t>
    </rPh>
    <phoneticPr fontId="2"/>
  </si>
  <si>
    <t>事務費（⑤）</t>
    <rPh sb="0" eb="2">
      <t>ジム</t>
    </rPh>
    <rPh sb="2" eb="3">
      <t>ヒ</t>
    </rPh>
    <phoneticPr fontId="2"/>
  </si>
  <si>
    <t>借入金利子（⑥）</t>
    <rPh sb="0" eb="2">
      <t>カリイレ</t>
    </rPh>
    <rPh sb="2" eb="3">
      <t>キン</t>
    </rPh>
    <rPh sb="3" eb="5">
      <t>リシ</t>
    </rPh>
    <phoneticPr fontId="2"/>
  </si>
  <si>
    <t>∑小計①～④×３％</t>
    <rPh sb="1" eb="2">
      <t>ショウ</t>
    </rPh>
    <rPh sb="2" eb="3">
      <t>ケイ</t>
    </rPh>
    <phoneticPr fontId="2"/>
  </si>
  <si>
    <t>∑小計①～⑥×３％</t>
    <phoneticPr fontId="2"/>
  </si>
  <si>
    <t>⑤事業資金の構成</t>
    <phoneticPr fontId="2"/>
  </si>
  <si>
    <t>⑥施設構成イメージ</t>
    <rPh sb="1" eb="3">
      <t>シセツ</t>
    </rPh>
    <phoneticPr fontId="2"/>
  </si>
  <si>
    <t>共用部</t>
    <rPh sb="0" eb="3">
      <t>キョウヨウブ</t>
    </rPh>
    <phoneticPr fontId="2"/>
  </si>
  <si>
    <t>①施設構成（法定床面積のみ）</t>
    <rPh sb="1" eb="3">
      <t>シセツ</t>
    </rPh>
    <rPh sb="3" eb="5">
      <t>コウセイ</t>
    </rPh>
    <rPh sb="6" eb="8">
      <t>ホウテイ</t>
    </rPh>
    <rPh sb="8" eb="11">
      <t>ユカメンセキ</t>
    </rPh>
    <phoneticPr fontId="2"/>
  </si>
  <si>
    <t>■片町四番組海側地区　年度別概略資金計画</t>
    <rPh sb="11" eb="13">
      <t>ネンド</t>
    </rPh>
    <rPh sb="13" eb="14">
      <t>ベツ</t>
    </rPh>
    <rPh sb="14" eb="16">
      <t>ガイリャク</t>
    </rPh>
    <rPh sb="16" eb="18">
      <t>シキン</t>
    </rPh>
    <rPh sb="18" eb="20">
      <t>ケイカク</t>
    </rPh>
    <phoneticPr fontId="2"/>
  </si>
  <si>
    <t>2018(H30)</t>
    <phoneticPr fontId="2"/>
  </si>
  <si>
    <t>2019(H31)</t>
    <phoneticPr fontId="2"/>
  </si>
  <si>
    <t>～事業協力者選定・都市計画原案</t>
    <rPh sb="9" eb="13">
      <t>トシケイカク</t>
    </rPh>
    <rPh sb="13" eb="15">
      <t>ゲンアン</t>
    </rPh>
    <phoneticPr fontId="2"/>
  </si>
  <si>
    <t>精算</t>
    <rPh sb="0" eb="2">
      <t>セイサン</t>
    </rPh>
    <phoneticPr fontId="2"/>
  </si>
  <si>
    <t>※建築設計費：2021年度80％、2022年度以降工事管理想定20％</t>
    <rPh sb="1" eb="3">
      <t>ケンチク</t>
    </rPh>
    <rPh sb="3" eb="5">
      <t>セッケイ</t>
    </rPh>
    <rPh sb="5" eb="6">
      <t>ヒ</t>
    </rPh>
    <rPh sb="11" eb="13">
      <t>ネンド</t>
    </rPh>
    <rPh sb="21" eb="23">
      <t>ネンド</t>
    </rPh>
    <rPh sb="23" eb="25">
      <t>イコウ</t>
    </rPh>
    <rPh sb="25" eb="27">
      <t>コウジ</t>
    </rPh>
    <rPh sb="27" eb="29">
      <t>カンリ</t>
    </rPh>
    <rPh sb="29" eb="31">
      <t>ソウテイ</t>
    </rPh>
    <phoneticPr fontId="2"/>
  </si>
  <si>
    <t>　（2022・2023年度各50％）</t>
    <phoneticPr fontId="2"/>
  </si>
  <si>
    <t>※工事管理費：2022・2023年度各50%</t>
    <rPh sb="1" eb="3">
      <t>コウジ</t>
    </rPh>
    <rPh sb="3" eb="6">
      <t>カンリヒ</t>
    </rPh>
    <rPh sb="16" eb="18">
      <t>ネンド</t>
    </rPh>
    <rPh sb="18" eb="19">
      <t>カク</t>
    </rPh>
    <phoneticPr fontId="2"/>
  </si>
  <si>
    <t>※権利変換計画作成費：2021年度80％、2023年度20％（価格確定業務等）</t>
    <rPh sb="1" eb="3">
      <t>ケンリ</t>
    </rPh>
    <rPh sb="3" eb="5">
      <t>ヘンカン</t>
    </rPh>
    <rPh sb="5" eb="7">
      <t>ケイカク</t>
    </rPh>
    <rPh sb="7" eb="9">
      <t>サクセイ</t>
    </rPh>
    <rPh sb="9" eb="10">
      <t>ヒ</t>
    </rPh>
    <rPh sb="15" eb="17">
      <t>ネンド</t>
    </rPh>
    <rPh sb="25" eb="27">
      <t>ネンド</t>
    </rPh>
    <rPh sb="31" eb="33">
      <t>カカク</t>
    </rPh>
    <rPh sb="33" eb="35">
      <t>カクテイ</t>
    </rPh>
    <rPh sb="35" eb="37">
      <t>ギョウム</t>
    </rPh>
    <rPh sb="37" eb="38">
      <t>トウ</t>
    </rPh>
    <phoneticPr fontId="2"/>
  </si>
  <si>
    <t>※工事費：出来高2022年度30％、2023年度70％想定</t>
    <rPh sb="1" eb="4">
      <t>コウジヒ</t>
    </rPh>
    <rPh sb="5" eb="8">
      <t>デキダカ</t>
    </rPh>
    <rPh sb="12" eb="14">
      <t>ネンド</t>
    </rPh>
    <rPh sb="22" eb="24">
      <t>ネンド</t>
    </rPh>
    <rPh sb="27" eb="29">
      <t>ソウテイ</t>
    </rPh>
    <phoneticPr fontId="2"/>
  </si>
  <si>
    <t>事務局経費</t>
    <rPh sb="0" eb="3">
      <t>ジムキョク</t>
    </rPh>
    <rPh sb="3" eb="5">
      <t>ケイヒ</t>
    </rPh>
    <phoneticPr fontId="2"/>
  </si>
  <si>
    <t>業務委託費</t>
    <rPh sb="0" eb="2">
      <t>ギョウム</t>
    </rPh>
    <rPh sb="2" eb="5">
      <t>イタクヒ</t>
    </rPh>
    <phoneticPr fontId="2"/>
  </si>
  <si>
    <t>※予備費、借入金：2020年度以降年度別事業費按分</t>
    <rPh sb="1" eb="4">
      <t>ヨビヒ</t>
    </rPh>
    <rPh sb="5" eb="7">
      <t>カリイレ</t>
    </rPh>
    <rPh sb="7" eb="8">
      <t>キン</t>
    </rPh>
    <rPh sb="13" eb="15">
      <t>ネンド</t>
    </rPh>
    <rPh sb="15" eb="17">
      <t>イコウ</t>
    </rPh>
    <rPh sb="17" eb="19">
      <t>ネンド</t>
    </rPh>
    <rPh sb="19" eb="20">
      <t>ベツ</t>
    </rPh>
    <rPh sb="20" eb="22">
      <t>ジギョウ</t>
    </rPh>
    <rPh sb="22" eb="23">
      <t>ヒ</t>
    </rPh>
    <rPh sb="23" eb="25">
      <t>アンブン</t>
    </rPh>
    <phoneticPr fontId="2"/>
  </si>
  <si>
    <t>※事務費：業務委託費として2018・2019年度に15百万円、2024年度に12百万円を計上。</t>
    <rPh sb="1" eb="4">
      <t>ジムヒ</t>
    </rPh>
    <rPh sb="22" eb="24">
      <t>ネンド</t>
    </rPh>
    <rPh sb="27" eb="30">
      <t>ヒャクマンエン</t>
    </rPh>
    <rPh sb="35" eb="37">
      <t>ネンド</t>
    </rPh>
    <rPh sb="40" eb="43">
      <t>ヒャ</t>
    </rPh>
    <rPh sb="44" eb="46">
      <t>ケイジョウ</t>
    </rPh>
    <phoneticPr fontId="2"/>
  </si>
  <si>
    <t>　　　　　　 2020～2023年度は年度別按分。</t>
    <phoneticPr fontId="2"/>
  </si>
  <si>
    <t>　　　　　　 事務局経費として2019年度に5百万円、2024年度に3百万円を計上。</t>
    <rPh sb="7" eb="10">
      <t>ジムキョク</t>
    </rPh>
    <rPh sb="10" eb="12">
      <t>ケイヒ</t>
    </rPh>
    <rPh sb="19" eb="21">
      <t>ネンド</t>
    </rPh>
    <rPh sb="23" eb="26">
      <t>ヒャクマンエン</t>
    </rPh>
    <rPh sb="31" eb="33">
      <t>ネンド</t>
    </rPh>
    <rPh sb="35" eb="38">
      <t>ヒャクマンエン</t>
    </rPh>
    <rPh sb="39" eb="41">
      <t>ケイジョウ</t>
    </rPh>
    <phoneticPr fontId="2"/>
  </si>
  <si>
    <t>■支出金</t>
    <rPh sb="1" eb="4">
      <t>シシュツキン</t>
    </rPh>
    <phoneticPr fontId="2"/>
  </si>
  <si>
    <t>□組合負担分の算出</t>
    <rPh sb="1" eb="3">
      <t>クミアイ</t>
    </rPh>
    <rPh sb="3" eb="6">
      <t>フタンブン</t>
    </rPh>
    <rPh sb="7" eb="9">
      <t>サンシュツ</t>
    </rPh>
    <phoneticPr fontId="2"/>
  </si>
  <si>
    <t>組合支出金（再掲）</t>
    <rPh sb="0" eb="2">
      <t>クミアイ</t>
    </rPh>
    <rPh sb="2" eb="5">
      <t>シシュツキン</t>
    </rPh>
    <rPh sb="6" eb="8">
      <t>サイケイ</t>
    </rPh>
    <phoneticPr fontId="2"/>
  </si>
  <si>
    <t>補助金（再掲）</t>
    <rPh sb="0" eb="3">
      <t>ホジョキン</t>
    </rPh>
    <rPh sb="4" eb="6">
      <t>サイケイ</t>
    </rPh>
    <phoneticPr fontId="2"/>
  </si>
  <si>
    <t>■収入金（補助金）</t>
    <rPh sb="1" eb="4">
      <t>シュウニュウキン</t>
    </rPh>
    <rPh sb="5" eb="8">
      <t>ホジョキン</t>
    </rPh>
    <phoneticPr fontId="2"/>
  </si>
  <si>
    <t>実質負担</t>
    <rPh sb="0" eb="2">
      <t>ジッシツ</t>
    </rPh>
    <rPh sb="2" eb="4">
      <t>フタン</t>
    </rPh>
    <phoneticPr fontId="2"/>
  </si>
  <si>
    <t>事業協力者負担</t>
    <rPh sb="0" eb="5">
      <t>ジギョウキョウリョ</t>
    </rPh>
    <rPh sb="5" eb="7">
      <t>フタン</t>
    </rPh>
    <phoneticPr fontId="2"/>
  </si>
  <si>
    <t>その他資金調達</t>
    <rPh sb="2" eb="3">
      <t>タ</t>
    </rPh>
    <rPh sb="3" eb="7">
      <t>シキンチョウタツ</t>
    </rPh>
    <phoneticPr fontId="2"/>
  </si>
  <si>
    <t>※市中銀行、特定建築者等</t>
    <rPh sb="1" eb="5">
      <t>シチュウギンコウ</t>
    </rPh>
    <rPh sb="6" eb="8">
      <t>トクテイ</t>
    </rPh>
    <rPh sb="8" eb="10">
      <t>ケンチク</t>
    </rPh>
    <rPh sb="10" eb="11">
      <t>シャ</t>
    </rPh>
    <rPh sb="11" eb="12">
      <t>トウ</t>
    </rPh>
    <phoneticPr fontId="2"/>
  </si>
  <si>
    <t>-</t>
  </si>
  <si>
    <t>-</t>
    <phoneticPr fontId="2"/>
  </si>
  <si>
    <t>-</t>
    <phoneticPr fontId="2"/>
  </si>
  <si>
    <t>2017(H29)年度</t>
    <rPh sb="9" eb="11">
      <t>ネンド</t>
    </rPh>
    <phoneticPr fontId="2"/>
  </si>
  <si>
    <t>※調査費</t>
    <rPh sb="1" eb="4">
      <t>チョウサヒ</t>
    </rPh>
    <phoneticPr fontId="2"/>
  </si>
  <si>
    <t>全体共用</t>
    <rPh sb="0" eb="2">
      <t>ゼンタイ</t>
    </rPh>
    <rPh sb="2" eb="4">
      <t>キョウヨウ</t>
    </rPh>
    <phoneticPr fontId="2"/>
  </si>
  <si>
    <t>住宅共用</t>
    <rPh sb="0" eb="2">
      <t>ジュウタク</t>
    </rPh>
    <rPh sb="2" eb="4">
      <t>キョウヨウ</t>
    </rPh>
    <phoneticPr fontId="2"/>
  </si>
  <si>
    <t>工事監理費</t>
    <rPh sb="0" eb="2">
      <t>コウジ</t>
    </rPh>
    <rPh sb="2" eb="4">
      <t>カンリ</t>
    </rPh>
    <rPh sb="4" eb="5">
      <t>ヒ</t>
    </rPh>
    <phoneticPr fontId="2"/>
  </si>
  <si>
    <t>土地効用比：Ｒ</t>
    <rPh sb="0" eb="2">
      <t>トチ</t>
    </rPh>
    <rPh sb="2" eb="4">
      <t>コウヨウ</t>
    </rPh>
    <rPh sb="4" eb="5">
      <t>ヒ</t>
    </rPh>
    <phoneticPr fontId="2"/>
  </si>
  <si>
    <t>計画台数×単価</t>
    <rPh sb="0" eb="2">
      <t>ケイカク</t>
    </rPh>
    <rPh sb="2" eb="4">
      <t>ダイスウ</t>
    </rPh>
    <rPh sb="5" eb="7">
      <t>タンカ</t>
    </rPh>
    <phoneticPr fontId="2"/>
  </si>
  <si>
    <t>従前（転出）</t>
    <rPh sb="0" eb="2">
      <t>ジュウゼン</t>
    </rPh>
    <rPh sb="3" eb="5">
      <t>テンシュツ</t>
    </rPh>
    <phoneticPr fontId="2"/>
  </si>
  <si>
    <t>従前（権変）</t>
    <rPh sb="0" eb="2">
      <t>ジュウゼン</t>
    </rPh>
    <rPh sb="3" eb="4">
      <t>ケン</t>
    </rPh>
    <rPh sb="4" eb="5">
      <t>ヘン</t>
    </rPh>
    <phoneticPr fontId="2"/>
  </si>
  <si>
    <t>　</t>
    <phoneticPr fontId="2"/>
  </si>
  <si>
    <t xml:space="preserve">  国土交通省告示第98号略算方法</t>
    <rPh sb="2" eb="4">
      <t>コクド</t>
    </rPh>
    <rPh sb="4" eb="7">
      <t>コウツウショウ</t>
    </rPh>
    <rPh sb="7" eb="9">
      <t>コクジ</t>
    </rPh>
    <rPh sb="9" eb="10">
      <t>ダイ</t>
    </rPh>
    <rPh sb="12" eb="13">
      <t>ゴウ</t>
    </rPh>
    <rPh sb="13" eb="14">
      <t>リャク</t>
    </rPh>
    <rPh sb="14" eb="15">
      <t>サン</t>
    </rPh>
    <rPh sb="15" eb="17">
      <t>ホウホウ</t>
    </rPh>
    <phoneticPr fontId="2"/>
  </si>
  <si>
    <t>複合化係数</t>
    <rPh sb="0" eb="3">
      <t>フクゴウカ</t>
    </rPh>
    <rPh sb="3" eb="5">
      <t>ケイスウ</t>
    </rPh>
    <phoneticPr fontId="2"/>
  </si>
  <si>
    <t>総計</t>
    <rPh sb="0" eb="2">
      <t>ソウケイ</t>
    </rPh>
    <phoneticPr fontId="2"/>
  </si>
  <si>
    <t>※</t>
    <phoneticPr fontId="2"/>
  </si>
  <si>
    <t>特記事項</t>
    <rPh sb="0" eb="2">
      <t>トッキ</t>
    </rPh>
    <rPh sb="2" eb="4">
      <t>ジコウ</t>
    </rPh>
    <phoneticPr fontId="2"/>
  </si>
  <si>
    <t>共用部面積については、下記按分表により振り分けたものを専有面積に加算して業務量算定の面積としています。</t>
    <rPh sb="0" eb="2">
      <t>キョウヨウ</t>
    </rPh>
    <rPh sb="2" eb="3">
      <t>ブ</t>
    </rPh>
    <rPh sb="3" eb="5">
      <t>メンセキ</t>
    </rPh>
    <rPh sb="11" eb="13">
      <t>カキ</t>
    </rPh>
    <rPh sb="13" eb="15">
      <t>アンブン</t>
    </rPh>
    <rPh sb="15" eb="16">
      <t>ヒョウ</t>
    </rPh>
    <rPh sb="19" eb="20">
      <t>フ</t>
    </rPh>
    <rPh sb="21" eb="22">
      <t>ワ</t>
    </rPh>
    <rPh sb="27" eb="29">
      <t>センユウ</t>
    </rPh>
    <rPh sb="29" eb="31">
      <t>メンセキ</t>
    </rPh>
    <rPh sb="32" eb="34">
      <t>カサン</t>
    </rPh>
    <rPh sb="36" eb="39">
      <t>ギョウムリョウ</t>
    </rPh>
    <rPh sb="39" eb="41">
      <t>サンテイ</t>
    </rPh>
    <rPh sb="42" eb="44">
      <t>メンセキ</t>
    </rPh>
    <phoneticPr fontId="2"/>
  </si>
  <si>
    <t>（</t>
    <phoneticPr fontId="2"/>
  </si>
  <si>
    <t>）</t>
    <phoneticPr fontId="2"/>
  </si>
  <si>
    <t>直接人件費単価（平成31年度技師C基準日額）</t>
    <rPh sb="0" eb="2">
      <t>チョクセツ</t>
    </rPh>
    <rPh sb="2" eb="5">
      <t>ジンケンヒ</t>
    </rPh>
    <rPh sb="5" eb="7">
      <t>タンカ</t>
    </rPh>
    <rPh sb="8" eb="10">
      <t>ヘイセイ</t>
    </rPh>
    <rPh sb="12" eb="14">
      <t>ネンド</t>
    </rPh>
    <rPh sb="14" eb="16">
      <t>ギシ</t>
    </rPh>
    <rPh sb="17" eb="19">
      <t>キジュン</t>
    </rPh>
    <rPh sb="19" eb="21">
      <t>ニチガク</t>
    </rPh>
    <phoneticPr fontId="2"/>
  </si>
  <si>
    <t>工事監理等業務委託料</t>
    <rPh sb="0" eb="2">
      <t>コウジ</t>
    </rPh>
    <rPh sb="2" eb="4">
      <t>カンリ</t>
    </rPh>
    <rPh sb="4" eb="5">
      <t>トウ</t>
    </rPh>
    <rPh sb="5" eb="7">
      <t>ギョウム</t>
    </rPh>
    <rPh sb="7" eb="9">
      <t>イタク</t>
    </rPh>
    <rPh sb="9" eb="10">
      <t>リョウ</t>
    </rPh>
    <phoneticPr fontId="2"/>
  </si>
  <si>
    <t>工事監理料＝直接人件費(A)＋直接･間接経費(B)＋技術料等経費(C)＋消費税等相当額(D)</t>
    <rPh sb="0" eb="2">
      <t>コウジ</t>
    </rPh>
    <rPh sb="2" eb="4">
      <t>カンリ</t>
    </rPh>
    <rPh sb="4" eb="5">
      <t>リョウ</t>
    </rPh>
    <rPh sb="6" eb="8">
      <t>チョクセツ</t>
    </rPh>
    <rPh sb="8" eb="11">
      <t>ジンケンヒ</t>
    </rPh>
    <rPh sb="15" eb="17">
      <t>チョクセツ</t>
    </rPh>
    <rPh sb="18" eb="20">
      <t>カンセツ</t>
    </rPh>
    <rPh sb="20" eb="22">
      <t>ショケイヒ</t>
    </rPh>
    <rPh sb="26" eb="29">
      <t>ギジュツリョウ</t>
    </rPh>
    <rPh sb="29" eb="30">
      <t>トウ</t>
    </rPh>
    <rPh sb="30" eb="32">
      <t>ケイヒ</t>
    </rPh>
    <rPh sb="36" eb="39">
      <t>ショウヒゼイ</t>
    </rPh>
    <rPh sb="39" eb="40">
      <t>トウ</t>
    </rPh>
    <rPh sb="40" eb="43">
      <t>ソウトウガク</t>
    </rPh>
    <phoneticPr fontId="2"/>
  </si>
  <si>
    <t>工事監理等</t>
    <rPh sb="0" eb="2">
      <t>コウジ</t>
    </rPh>
    <rPh sb="2" eb="4">
      <t>カンリ</t>
    </rPh>
    <rPh sb="4" eb="5">
      <t>トウ</t>
    </rPh>
    <phoneticPr fontId="2"/>
  </si>
  <si>
    <t>②　工事監理等　業務委託料の計算</t>
    <rPh sb="2" eb="4">
      <t>コウジ</t>
    </rPh>
    <rPh sb="4" eb="6">
      <t>カンリ</t>
    </rPh>
    <rPh sb="6" eb="7">
      <t>トウ</t>
    </rPh>
    <rPh sb="8" eb="10">
      <t>ギョウム</t>
    </rPh>
    <rPh sb="10" eb="13">
      <t>イタクリョウ</t>
    </rPh>
    <rPh sb="14" eb="16">
      <t>ケイサン</t>
    </rPh>
    <phoneticPr fontId="2"/>
  </si>
  <si>
    <t>工事監理等　委託料</t>
    <rPh sb="0" eb="2">
      <t>コウジ</t>
    </rPh>
    <rPh sb="2" eb="5">
      <t>カンリトウ</t>
    </rPh>
    <rPh sb="6" eb="9">
      <t>イタクリョウ</t>
    </rPh>
    <phoneticPr fontId="2"/>
  </si>
  <si>
    <t>告示98号</t>
    <rPh sb="0" eb="2">
      <t>コクジ</t>
    </rPh>
    <rPh sb="4" eb="5">
      <t>ゴウ</t>
    </rPh>
    <phoneticPr fontId="2"/>
  </si>
  <si>
    <t>推定再建築費×現価率×1-転出率（10%）,事業費には含まない</t>
    <rPh sb="7" eb="9">
      <t>ゲンカ</t>
    </rPh>
    <rPh sb="9" eb="10">
      <t>リツ</t>
    </rPh>
    <rPh sb="22" eb="24">
      <t>ジギョウ</t>
    </rPh>
    <rPh sb="24" eb="25">
      <t>ヒ</t>
    </rPh>
    <rPh sb="27" eb="28">
      <t>フク</t>
    </rPh>
    <phoneticPr fontId="2"/>
  </si>
  <si>
    <t>安全率※</t>
    <rPh sb="0" eb="2">
      <t>アンゼン</t>
    </rPh>
    <rPh sb="2" eb="3">
      <t>リツ</t>
    </rPh>
    <phoneticPr fontId="2"/>
  </si>
  <si>
    <t>※安全率…交付金の国への要望額に対する内示での充当率を想定したもの</t>
    <rPh sb="1" eb="3">
      <t>アンゼン</t>
    </rPh>
    <rPh sb="3" eb="4">
      <t>リツ</t>
    </rPh>
    <rPh sb="5" eb="8">
      <t>コウフキン</t>
    </rPh>
    <rPh sb="9" eb="10">
      <t>クニ</t>
    </rPh>
    <rPh sb="12" eb="14">
      <t>ヨウボウ</t>
    </rPh>
    <rPh sb="14" eb="15">
      <t>ガク</t>
    </rPh>
    <rPh sb="16" eb="17">
      <t>タイ</t>
    </rPh>
    <rPh sb="19" eb="21">
      <t>ナイジ</t>
    </rPh>
    <rPh sb="23" eb="25">
      <t>ジュウトウ</t>
    </rPh>
    <rPh sb="25" eb="26">
      <t>リツ</t>
    </rPh>
    <rPh sb="27" eb="29">
      <t>ソウテイ</t>
    </rPh>
    <phoneticPr fontId="2"/>
  </si>
  <si>
    <t xml:space="preserve">六 共同住宅　（第1類）   </t>
  </si>
  <si>
    <t>難易度
係数</t>
    <rPh sb="0" eb="3">
      <t>ナンイド</t>
    </rPh>
    <rPh sb="4" eb="6">
      <t>ケイスウ</t>
    </rPh>
    <phoneticPr fontId="2"/>
  </si>
  <si>
    <t xml:space="preserve">五 商業施設　（第1類）   </t>
  </si>
  <si>
    <t xml:space="preserve">九 宿泊施設　（第1類）   </t>
  </si>
  <si>
    <t xml:space="preserve">一 物流施設　（第1類）   </t>
  </si>
  <si>
    <t>専有面積（㎡）</t>
    <rPh sb="0" eb="2">
      <t>センユウ</t>
    </rPh>
    <rPh sb="2" eb="4">
      <t>メンセキ</t>
    </rPh>
    <phoneticPr fontId="2"/>
  </si>
  <si>
    <t>共用部面積（㎡）</t>
    <rPh sb="0" eb="2">
      <t>キョウヨウ</t>
    </rPh>
    <rPh sb="2" eb="3">
      <t>ブ</t>
    </rPh>
    <rPh sb="3" eb="5">
      <t>メンセキ</t>
    </rPh>
    <phoneticPr fontId="2"/>
  </si>
  <si>
    <t>施設供用</t>
    <rPh sb="0" eb="2">
      <t>シセツ</t>
    </rPh>
    <rPh sb="2" eb="4">
      <t>キョウヨウ</t>
    </rPh>
    <phoneticPr fontId="2"/>
  </si>
  <si>
    <t xml:space="preserve">  共用部按分加算　計 （㎡）</t>
    <rPh sb="2" eb="4">
      <t>キョウヨウ</t>
    </rPh>
    <rPh sb="4" eb="5">
      <t>ブ</t>
    </rPh>
    <rPh sb="5" eb="7">
      <t>アンブン</t>
    </rPh>
    <rPh sb="7" eb="9">
      <t>カサン</t>
    </rPh>
    <rPh sb="10" eb="11">
      <t>ケイ</t>
    </rPh>
    <phoneticPr fontId="2"/>
  </si>
  <si>
    <t>追加的に発生する業務に係る業務量</t>
    <rPh sb="0" eb="3">
      <t>ツイカテキ</t>
    </rPh>
    <rPh sb="4" eb="6">
      <t>ハッセイ</t>
    </rPh>
    <rPh sb="8" eb="10">
      <t>ギョウム</t>
    </rPh>
    <rPh sb="11" eb="12">
      <t>カカ</t>
    </rPh>
    <rPh sb="13" eb="16">
      <t>ギョウムリョウ</t>
    </rPh>
    <phoneticPr fontId="2"/>
  </si>
  <si>
    <t>(ﾊ)</t>
    <phoneticPr fontId="2"/>
  </si>
  <si>
    <t>((ｲ) ＋ (ﾛ)) × (ﾊ)</t>
    <phoneticPr fontId="2"/>
  </si>
  <si>
    <t>住宅</t>
  </si>
  <si>
    <t>商業</t>
  </si>
  <si>
    <t>宿泊</t>
  </si>
  <si>
    <t>駐車場</t>
  </si>
  <si>
    <t>算定に際して、複合建築物にかかる略算方法にて、各用途が「独立運用可能」な場合を想定して算定しています。</t>
  </si>
  <si>
    <t>計画延床面積×単価</t>
  </si>
  <si>
    <t>補助対象：包括積算対象工事費の0%
（2階以下）</t>
    <rPh sb="20" eb="23">
      <t>カイイカ</t>
    </rPh>
    <phoneticPr fontId="2"/>
  </si>
  <si>
    <t>補助対象：100%</t>
    <rPh sb="0" eb="2">
      <t>ホジョ</t>
    </rPh>
    <rPh sb="2" eb="4">
      <t>タイショウ</t>
    </rPh>
    <phoneticPr fontId="2"/>
  </si>
  <si>
    <t>補助対象：包括積算対象工事費の26%
（6～13階）</t>
    <rPh sb="0" eb="2">
      <t>ホジョ</t>
    </rPh>
    <rPh sb="2" eb="4">
      <t>タイショウ</t>
    </rPh>
    <rPh sb="5" eb="7">
      <t>ホウカツ</t>
    </rPh>
    <rPh sb="7" eb="9">
      <t>セキサン</t>
    </rPh>
    <rPh sb="9" eb="11">
      <t>タイショウ</t>
    </rPh>
    <rPh sb="11" eb="13">
      <t>コウジ</t>
    </rPh>
    <rPh sb="13" eb="14">
      <t>ヒ</t>
    </rPh>
    <rPh sb="24" eb="25">
      <t>カイ</t>
    </rPh>
    <phoneticPr fontId="2"/>
  </si>
  <si>
    <t>差額</t>
    <rPh sb="0" eb="2">
      <t>サガク</t>
    </rPh>
    <phoneticPr fontId="2"/>
  </si>
  <si>
    <t>(百万円)</t>
    <rPh sb="1" eb="4">
      <t>ヒャクマンエン</t>
    </rPh>
    <phoneticPr fontId="2"/>
  </si>
  <si>
    <t>片町四番組海側地区（ホテル住宅案20191115）</t>
    <rPh sb="0" eb="2">
      <t>カタマチ</t>
    </rPh>
    <rPh sb="2" eb="3">
      <t>ヨン</t>
    </rPh>
    <rPh sb="3" eb="5">
      <t>バングミ</t>
    </rPh>
    <rPh sb="5" eb="7">
      <t>ウミガワ</t>
    </rPh>
    <rPh sb="7" eb="9">
      <t>チク</t>
    </rPh>
    <rPh sb="13" eb="15">
      <t>ジュウタク</t>
    </rPh>
    <rPh sb="15" eb="16">
      <t>アン</t>
    </rPh>
    <phoneticPr fontId="2"/>
  </si>
  <si>
    <t>調整後　設計業務費（税抜）</t>
    <rPh sb="0" eb="3">
      <t>チョウセイゴ</t>
    </rPh>
    <rPh sb="4" eb="6">
      <t>セッケイ</t>
    </rPh>
    <rPh sb="6" eb="8">
      <t>ギョウム</t>
    </rPh>
    <rPh sb="8" eb="9">
      <t>ヒ</t>
    </rPh>
    <rPh sb="10" eb="12">
      <t>ゼイヌキ</t>
    </rPh>
    <phoneticPr fontId="2"/>
  </si>
  <si>
    <t>駐車場等</t>
    <rPh sb="0" eb="3">
      <t>チュウシャジョウ</t>
    </rPh>
    <rPh sb="3" eb="4">
      <t>トウ</t>
    </rPh>
    <phoneticPr fontId="2"/>
  </si>
  <si>
    <t>参考見積（資金計画作成費＋建物調査費）</t>
    <rPh sb="0" eb="2">
      <t>サンコウ</t>
    </rPh>
    <rPh sb="2" eb="4">
      <t>ミツモリ</t>
    </rPh>
    <rPh sb="5" eb="7">
      <t>シキン</t>
    </rPh>
    <rPh sb="7" eb="9">
      <t>ケイカク</t>
    </rPh>
    <rPh sb="9" eb="11">
      <t>サクセイ</t>
    </rPh>
    <rPh sb="11" eb="12">
      <t>ヒ</t>
    </rPh>
    <rPh sb="13" eb="15">
      <t>タテモノ</t>
    </rPh>
    <rPh sb="15" eb="17">
      <t>チョウサ</t>
    </rPh>
    <rPh sb="17" eb="18">
      <t>ヒ</t>
    </rPh>
    <phoneticPr fontId="2"/>
  </si>
  <si>
    <t>独立運用可能</t>
  </si>
  <si>
    <t>2019.11.15</t>
  </si>
  <si>
    <t>補助対象：包括積算対象工事費の26%
（6～13階）</t>
    <phoneticPr fontId="2"/>
  </si>
  <si>
    <t>■商業表面利回り</t>
    <rPh sb="1" eb="3">
      <t>ショウギョウ</t>
    </rPh>
    <rPh sb="3" eb="5">
      <t>ヒョウメン</t>
    </rPh>
    <rPh sb="5" eb="7">
      <t>リマワ</t>
    </rPh>
    <phoneticPr fontId="2"/>
  </si>
  <si>
    <t>（千円/月・坪）</t>
  </si>
  <si>
    <t>（月）</t>
    <rPh sb="1" eb="2">
      <t>ツキ</t>
    </rPh>
    <phoneticPr fontId="2"/>
  </si>
  <si>
    <t>(千円/坪）</t>
    <rPh sb="1" eb="3">
      <t>センエン</t>
    </rPh>
    <rPh sb="4" eb="5">
      <t>ツボ</t>
    </rPh>
    <phoneticPr fontId="2"/>
  </si>
  <si>
    <t>想定賃料</t>
    <rPh sb="0" eb="2">
      <t>ソウテイ</t>
    </rPh>
    <rPh sb="2" eb="4">
      <t>チンリョウ</t>
    </rPh>
    <phoneticPr fontId="2"/>
  </si>
  <si>
    <t>年</t>
    <rPh sb="0" eb="1">
      <t>ネン</t>
    </rPh>
    <phoneticPr fontId="2"/>
  </si>
  <si>
    <t>商業表面利回り</t>
    <rPh sb="0" eb="2">
      <t>ショウギョウ</t>
    </rPh>
    <rPh sb="2" eb="4">
      <t>ヒョウメン</t>
    </rPh>
    <rPh sb="4" eb="6">
      <t>リマワ</t>
    </rPh>
    <phoneticPr fontId="2"/>
  </si>
  <si>
    <t>商業床単価</t>
    <rPh sb="0" eb="2">
      <t>ショウギョウ</t>
    </rPh>
    <rPh sb="2" eb="3">
      <t>ユカ</t>
    </rPh>
    <rPh sb="3" eb="5">
      <t>タンカ</t>
    </rPh>
    <phoneticPr fontId="2"/>
  </si>
  <si>
    <t>③調整後床原価（野村提案書価格などから逆算）</t>
    <rPh sb="1" eb="4">
      <t>チョウセイゴ</t>
    </rPh>
    <rPh sb="4" eb="5">
      <t>ユカ</t>
    </rPh>
    <rPh sb="5" eb="7">
      <t>ゲンカ</t>
    </rPh>
    <rPh sb="8" eb="12">
      <t>ノムラテイアン</t>
    </rPh>
    <rPh sb="12" eb="13">
      <t>ショ</t>
    </rPh>
    <rPh sb="13" eb="15">
      <t>カカク</t>
    </rPh>
    <rPh sb="19" eb="21">
      <t>ギャクサン</t>
    </rPh>
    <phoneticPr fontId="2"/>
  </si>
  <si>
    <t>③収支計算</t>
    <rPh sb="1" eb="3">
      <t>シュウシ</t>
    </rPh>
    <rPh sb="3" eb="5">
      <t>ケイサン</t>
    </rPh>
    <phoneticPr fontId="2"/>
  </si>
  <si>
    <r>
      <t>従前居住権利者面積（残留）×期間（</t>
    </r>
    <r>
      <rPr>
        <sz val="8"/>
        <color indexed="10"/>
        <rFont val="ＭＳ Ｐゴシック"/>
        <family val="3"/>
        <charset val="128"/>
      </rPr>
      <t>30</t>
    </r>
    <r>
      <rPr>
        <sz val="8"/>
        <rFont val="ＭＳ Ｐゴシック"/>
        <family val="3"/>
        <charset val="128"/>
      </rPr>
      <t>ヶ月）</t>
    </r>
    <rPh sb="0" eb="2">
      <t>ジュウゼン</t>
    </rPh>
    <rPh sb="2" eb="4">
      <t>キョジュウ</t>
    </rPh>
    <rPh sb="4" eb="7">
      <t>ケンリシャ</t>
    </rPh>
    <rPh sb="7" eb="9">
      <t>メンセキ</t>
    </rPh>
    <rPh sb="10" eb="12">
      <t>ザンリュウ</t>
    </rPh>
    <rPh sb="14" eb="16">
      <t>キカン</t>
    </rPh>
    <phoneticPr fontId="2"/>
  </si>
  <si>
    <r>
      <t>従前運用権利者面積（残留）×期間（</t>
    </r>
    <r>
      <rPr>
        <sz val="8"/>
        <color indexed="10"/>
        <rFont val="ＭＳ Ｐゴシック"/>
        <family val="3"/>
        <charset val="128"/>
      </rPr>
      <t>30</t>
    </r>
    <r>
      <rPr>
        <sz val="8"/>
        <rFont val="ＭＳ Ｐゴシック"/>
        <family val="3"/>
        <charset val="128"/>
      </rPr>
      <t>ヶ月）</t>
    </r>
    <rPh sb="0" eb="2">
      <t>ジュウゼン</t>
    </rPh>
    <rPh sb="2" eb="4">
      <t>ウンヨウ</t>
    </rPh>
    <rPh sb="4" eb="7">
      <t>ケンリシャ</t>
    </rPh>
    <rPh sb="7" eb="9">
      <t>メンセキ</t>
    </rPh>
    <rPh sb="10" eb="12">
      <t>ザンリュウ</t>
    </rPh>
    <rPh sb="14" eb="16">
      <t>キカン</t>
    </rPh>
    <phoneticPr fontId="2"/>
  </si>
  <si>
    <r>
      <t>∑小計①～⑤×事業期間（5年）×借入率（40%）×金利（</t>
    </r>
    <r>
      <rPr>
        <sz val="7"/>
        <color indexed="10"/>
        <rFont val="ＭＳ Ｐゴシック"/>
        <family val="3"/>
        <charset val="128"/>
      </rPr>
      <t>1.5</t>
    </r>
    <r>
      <rPr>
        <sz val="7"/>
        <rFont val="ＭＳ Ｐゴシック"/>
        <family val="3"/>
        <charset val="128"/>
      </rPr>
      <t>%）を想定</t>
    </r>
    <rPh sb="7" eb="9">
      <t>ジギョウ</t>
    </rPh>
    <rPh sb="9" eb="11">
      <t>キカン</t>
    </rPh>
    <rPh sb="13" eb="14">
      <t>ネン</t>
    </rPh>
    <rPh sb="16" eb="18">
      <t>カリイレ</t>
    </rPh>
    <rPh sb="18" eb="19">
      <t>リツ</t>
    </rPh>
    <rPh sb="25" eb="27">
      <t>キンリ</t>
    </rPh>
    <rPh sb="34" eb="36">
      <t>ソウテイ</t>
    </rPh>
    <phoneticPr fontId="2"/>
  </si>
  <si>
    <t>小計（A)</t>
    <rPh sb="0" eb="2">
      <t>ショウケイ</t>
    </rPh>
    <phoneticPr fontId="2"/>
  </si>
  <si>
    <t>工事費ー補助対象額（工事費、権変建物補償）</t>
    <rPh sb="0" eb="3">
      <t>コウジヒ</t>
    </rPh>
    <rPh sb="4" eb="6">
      <t>ホジョ</t>
    </rPh>
    <rPh sb="6" eb="8">
      <t>タイショウ</t>
    </rPh>
    <rPh sb="8" eb="9">
      <t>ガク</t>
    </rPh>
    <rPh sb="10" eb="13">
      <t>コウジヒ</t>
    </rPh>
    <rPh sb="14" eb="15">
      <t>ケン</t>
    </rPh>
    <rPh sb="15" eb="16">
      <t>ヘン</t>
    </rPh>
    <rPh sb="16" eb="18">
      <t>タテモノ</t>
    </rPh>
    <rPh sb="18" eb="20">
      <t>ホショウ</t>
    </rPh>
    <phoneticPr fontId="2"/>
  </si>
  <si>
    <t>（１）保留床の建物取得に係る消費税</t>
    <rPh sb="3" eb="5">
      <t>ホリュウ</t>
    </rPh>
    <rPh sb="5" eb="6">
      <t>ショウ</t>
    </rPh>
    <rPh sb="7" eb="9">
      <t>タテモノ</t>
    </rPh>
    <rPh sb="9" eb="11">
      <t>シュトク</t>
    </rPh>
    <rPh sb="12" eb="13">
      <t>カカ</t>
    </rPh>
    <rPh sb="14" eb="17">
      <t>ショウヒゼイ</t>
    </rPh>
    <phoneticPr fontId="2"/>
  </si>
  <si>
    <t>（２）差し引くことができる消費税</t>
    <rPh sb="3" eb="4">
      <t>サ</t>
    </rPh>
    <rPh sb="5" eb="6">
      <t>ヒ</t>
    </rPh>
    <rPh sb="13" eb="16">
      <t>ショウヒゼイ</t>
    </rPh>
    <phoneticPr fontId="2"/>
  </si>
  <si>
    <t>・保留床に対応する消費税</t>
    <rPh sb="1" eb="3">
      <t>ホリュウ</t>
    </rPh>
    <rPh sb="3" eb="4">
      <t>ショウ</t>
    </rPh>
    <rPh sb="5" eb="7">
      <t>タイオウ</t>
    </rPh>
    <rPh sb="9" eb="12">
      <t>ショウヒゼイ</t>
    </rPh>
    <phoneticPr fontId="2"/>
  </si>
  <si>
    <t>・権利床に対応する消費税のうち差し引くことができる消費税</t>
    <rPh sb="1" eb="3">
      <t>ケンリ</t>
    </rPh>
    <rPh sb="3" eb="4">
      <t>ショウ</t>
    </rPh>
    <rPh sb="5" eb="7">
      <t>タイオウ</t>
    </rPh>
    <rPh sb="9" eb="12">
      <t>ショウヒゼイ</t>
    </rPh>
    <rPh sb="15" eb="16">
      <t>サ</t>
    </rPh>
    <rPh sb="17" eb="18">
      <t>ヒ</t>
    </rPh>
    <rPh sb="25" eb="28">
      <t>ショウヒゼイ</t>
    </rPh>
    <phoneticPr fontId="2"/>
  </si>
  <si>
    <t>(支払った消費税）</t>
    <rPh sb="1" eb="3">
      <t>シハラ</t>
    </rPh>
    <rPh sb="5" eb="8">
      <t>ショウヒゼイ</t>
    </rPh>
    <phoneticPr fontId="2"/>
  </si>
  <si>
    <t>(保留床の割合）</t>
    <rPh sb="1" eb="3">
      <t>ホリュウ</t>
    </rPh>
    <rPh sb="3" eb="4">
      <t>ショウ</t>
    </rPh>
    <rPh sb="5" eb="7">
      <t>ワリアイ</t>
    </rPh>
    <phoneticPr fontId="2"/>
  </si>
  <si>
    <t>(権利床の割合）</t>
    <rPh sb="1" eb="3">
      <t>ケンリ</t>
    </rPh>
    <rPh sb="3" eb="4">
      <t>ショウ</t>
    </rPh>
    <rPh sb="5" eb="7">
      <t>ワリアイ</t>
    </rPh>
    <phoneticPr fontId="2"/>
  </si>
  <si>
    <t>（建物費の割合）</t>
    <rPh sb="1" eb="3">
      <t>タテモノ</t>
    </rPh>
    <rPh sb="3" eb="4">
      <t>ヒ</t>
    </rPh>
    <rPh sb="5" eb="7">
      <t>ワリアイ</t>
    </rPh>
    <phoneticPr fontId="2"/>
  </si>
  <si>
    <t>（消費税）</t>
    <rPh sb="1" eb="4">
      <t>ショウヒゼイ</t>
    </rPh>
    <phoneticPr fontId="2"/>
  </si>
  <si>
    <t>（保留床価格）</t>
    <rPh sb="1" eb="3">
      <t>ホリュウ</t>
    </rPh>
    <rPh sb="3" eb="4">
      <t>ショウ</t>
    </rPh>
    <rPh sb="4" eb="6">
      <t>カカク</t>
    </rPh>
    <phoneticPr fontId="2"/>
  </si>
  <si>
    <t>…①</t>
    <phoneticPr fontId="2"/>
  </si>
  <si>
    <t>…②</t>
    <phoneticPr fontId="2"/>
  </si>
  <si>
    <t>…③</t>
    <phoneticPr fontId="2"/>
  </si>
  <si>
    <t>消費税還付額（②＋③－①）</t>
    <rPh sb="0" eb="3">
      <t>ショウヒゼイ</t>
    </rPh>
    <rPh sb="3" eb="5">
      <t>カンプ</t>
    </rPh>
    <rPh sb="5" eb="6">
      <t>ガク</t>
    </rPh>
    <phoneticPr fontId="2"/>
  </si>
  <si>
    <t>パターンA</t>
    <phoneticPr fontId="2"/>
  </si>
  <si>
    <t>消費税還付額の計算</t>
    <rPh sb="0" eb="3">
      <t>ショウヒゼイ</t>
    </rPh>
    <rPh sb="3" eb="5">
      <t>カンプ</t>
    </rPh>
    <rPh sb="5" eb="6">
      <t>ガク</t>
    </rPh>
    <rPh sb="7" eb="9">
      <t>ケイサン</t>
    </rPh>
    <phoneticPr fontId="2"/>
  </si>
  <si>
    <t>※権利床と保留床の価格差は考慮しない</t>
    <rPh sb="1" eb="3">
      <t>ケンリ</t>
    </rPh>
    <rPh sb="3" eb="4">
      <t>ショウ</t>
    </rPh>
    <rPh sb="5" eb="7">
      <t>ホリュウ</t>
    </rPh>
    <rPh sb="7" eb="8">
      <t>ショウ</t>
    </rPh>
    <rPh sb="9" eb="12">
      <t>カカクサ</t>
    </rPh>
    <rPh sb="13" eb="15">
      <t>コウリョ</t>
    </rPh>
    <phoneticPr fontId="2"/>
  </si>
  <si>
    <t>総床価格</t>
    <rPh sb="0" eb="1">
      <t>ソウ</t>
    </rPh>
    <rPh sb="1" eb="2">
      <t>ユカ</t>
    </rPh>
    <rPh sb="2" eb="4">
      <t>カカク</t>
    </rPh>
    <phoneticPr fontId="2"/>
  </si>
  <si>
    <t>権利床価格</t>
    <rPh sb="0" eb="2">
      <t>ケンリ</t>
    </rPh>
    <rPh sb="2" eb="3">
      <t>ショウ</t>
    </rPh>
    <rPh sb="3" eb="5">
      <t>カカク</t>
    </rPh>
    <phoneticPr fontId="2"/>
  </si>
  <si>
    <t>保留床価格</t>
    <rPh sb="0" eb="2">
      <t>ホリュウ</t>
    </rPh>
    <rPh sb="2" eb="3">
      <t>ショウ</t>
    </rPh>
    <rPh sb="3" eb="5">
      <t>カカク</t>
    </rPh>
    <phoneticPr fontId="2"/>
  </si>
  <si>
    <t>パターンD</t>
    <phoneticPr fontId="2"/>
  </si>
  <si>
    <t>パターンB</t>
    <phoneticPr fontId="2"/>
  </si>
  <si>
    <t>パターンC</t>
    <phoneticPr fontId="2"/>
  </si>
  <si>
    <t>工事費圧縮率</t>
    <rPh sb="0" eb="3">
      <t>コウジヒ</t>
    </rPh>
    <rPh sb="3" eb="5">
      <t>アッシュク</t>
    </rPh>
    <rPh sb="5" eb="6">
      <t>リツ</t>
    </rPh>
    <phoneticPr fontId="2"/>
  </si>
  <si>
    <t>ホ建物</t>
    <rPh sb="1" eb="3">
      <t>タテモノ</t>
    </rPh>
    <phoneticPr fontId="2"/>
  </si>
  <si>
    <t>ケ建物</t>
    <rPh sb="1" eb="3">
      <t>タテモノ</t>
    </rPh>
    <phoneticPr fontId="2"/>
  </si>
  <si>
    <t>【4】床単価の算定［片町四番組海側地区(ホ住案20191115)］(還付・緊促・充100%・ホ補助有)</t>
    <rPh sb="3" eb="4">
      <t>ユカ</t>
    </rPh>
    <rPh sb="4" eb="6">
      <t>タンカ</t>
    </rPh>
    <rPh sb="7" eb="9">
      <t>サンテイ</t>
    </rPh>
    <phoneticPr fontId="2"/>
  </si>
  <si>
    <t>【３】モデル事業収支試算［片町四番組海側地区(ホ住案20191115)］(還付・緊促・充100%・ホ補助有)</t>
    <rPh sb="6" eb="8">
      <t>ジギョウ</t>
    </rPh>
    <rPh sb="8" eb="10">
      <t>シュウシ</t>
    </rPh>
    <rPh sb="10" eb="12">
      <t>シサン</t>
    </rPh>
    <phoneticPr fontId="2"/>
  </si>
  <si>
    <t>【4】床単価の算定［片町四番組海側地区(ホ住案20191115)］(還付・緊促・充100%)</t>
    <rPh sb="3" eb="4">
      <t>ユカ</t>
    </rPh>
    <rPh sb="4" eb="6">
      <t>タンカ</t>
    </rPh>
    <rPh sb="7" eb="9">
      <t>サンテイ</t>
    </rPh>
    <phoneticPr fontId="2"/>
  </si>
  <si>
    <t>【4】床単価の算定［片町四番組海側地区(ホ住案20191115)］(還付・工事費減)</t>
    <rPh sb="3" eb="4">
      <t>ユカ</t>
    </rPh>
    <rPh sb="4" eb="6">
      <t>タンカ</t>
    </rPh>
    <rPh sb="7" eb="9">
      <t>サンテイ</t>
    </rPh>
    <rPh sb="37" eb="40">
      <t>コウジヒ</t>
    </rPh>
    <rPh sb="40" eb="41">
      <t>ゲン</t>
    </rPh>
    <phoneticPr fontId="2"/>
  </si>
  <si>
    <t>【３】モデル事業収支試算［片町四番組海側地区(ホ住案20191115)］(還付・緊促・充100%)</t>
    <rPh sb="6" eb="8">
      <t>ジギョウ</t>
    </rPh>
    <rPh sb="8" eb="10">
      <t>シュウシ</t>
    </rPh>
    <rPh sb="10" eb="12">
      <t>シサン</t>
    </rPh>
    <phoneticPr fontId="2"/>
  </si>
  <si>
    <t>【３】モデル事業収支試算［片町四番組海側地区(ホ住案20191115)］(還付・工事費減)</t>
    <rPh sb="6" eb="8">
      <t>ジギョウ</t>
    </rPh>
    <rPh sb="8" eb="10">
      <t>シュウシ</t>
    </rPh>
    <rPh sb="10" eb="12">
      <t>シサン</t>
    </rPh>
    <rPh sb="40" eb="43">
      <t>コウジヒ</t>
    </rPh>
    <rPh sb="43" eb="44">
      <t>ゲン</t>
    </rPh>
    <phoneticPr fontId="2"/>
  </si>
  <si>
    <t>【３】モデル事業収支試算［片町四番組海側地区(ホ住案20191115)］(還付)</t>
    <rPh sb="6" eb="8">
      <t>ジギョウ</t>
    </rPh>
    <rPh sb="8" eb="10">
      <t>シュウシ</t>
    </rPh>
    <rPh sb="10" eb="12">
      <t>シサン</t>
    </rPh>
    <phoneticPr fontId="2"/>
  </si>
  <si>
    <r>
      <t>推定再建築費×再築率×転出率（前提</t>
    </r>
    <r>
      <rPr>
        <sz val="8"/>
        <color indexed="10"/>
        <rFont val="ＭＳ Ｐゴシック"/>
        <family val="3"/>
        <charset val="128"/>
      </rPr>
      <t>15%</t>
    </r>
    <r>
      <rPr>
        <sz val="8"/>
        <rFont val="ＭＳ Ｐゴシック"/>
        <family val="3"/>
        <charset val="128"/>
      </rPr>
      <t>）</t>
    </r>
    <rPh sb="0" eb="2">
      <t>スイテイ</t>
    </rPh>
    <rPh sb="2" eb="3">
      <t>サイ</t>
    </rPh>
    <rPh sb="3" eb="6">
      <t>ケンチクヒ</t>
    </rPh>
    <rPh sb="7" eb="9">
      <t>サイチク</t>
    </rPh>
    <rPh sb="9" eb="10">
      <t>リツ</t>
    </rPh>
    <rPh sb="11" eb="13">
      <t>テンシュツ</t>
    </rPh>
    <rPh sb="13" eb="14">
      <t>リツ</t>
    </rPh>
    <rPh sb="15" eb="17">
      <t>ゼンテイ</t>
    </rPh>
    <phoneticPr fontId="2"/>
  </si>
  <si>
    <t>消費税還付金（A)</t>
    <rPh sb="0" eb="3">
      <t>ショウヒゼイ</t>
    </rPh>
    <rPh sb="3" eb="6">
      <t>カンプキン</t>
    </rPh>
    <phoneticPr fontId="2"/>
  </si>
  <si>
    <t>∑①～④,A</t>
    <phoneticPr fontId="2"/>
  </si>
  <si>
    <t>緊急促進補助金（B)</t>
    <rPh sb="0" eb="2">
      <t>キンキュウ</t>
    </rPh>
    <rPh sb="2" eb="4">
      <t>ソクシン</t>
    </rPh>
    <rPh sb="4" eb="7">
      <t>ホジョキン</t>
    </rPh>
    <phoneticPr fontId="2"/>
  </si>
  <si>
    <t>∑①～④,A～B</t>
    <phoneticPr fontId="2"/>
  </si>
  <si>
    <t>←固定</t>
    <rPh sb="1" eb="3">
      <t>コテイ</t>
    </rPh>
    <phoneticPr fontId="2"/>
  </si>
  <si>
    <r>
      <t>従前居住権利者面積（残留）×期間（</t>
    </r>
    <r>
      <rPr>
        <sz val="8"/>
        <color indexed="10"/>
        <rFont val="ＭＳ Ｐゴシック"/>
        <family val="3"/>
        <charset val="128"/>
      </rPr>
      <t>36</t>
    </r>
    <r>
      <rPr>
        <sz val="8"/>
        <rFont val="ＭＳ Ｐゴシック"/>
        <family val="3"/>
        <charset val="128"/>
      </rPr>
      <t>ヶ月）</t>
    </r>
    <rPh sb="0" eb="2">
      <t>ジュウゼン</t>
    </rPh>
    <rPh sb="2" eb="4">
      <t>キョジュウ</t>
    </rPh>
    <rPh sb="4" eb="7">
      <t>ケンリシャ</t>
    </rPh>
    <rPh sb="7" eb="9">
      <t>メンセキ</t>
    </rPh>
    <rPh sb="10" eb="12">
      <t>ザンリュウ</t>
    </rPh>
    <rPh sb="14" eb="16">
      <t>キカン</t>
    </rPh>
    <phoneticPr fontId="2"/>
  </si>
  <si>
    <r>
      <t>従前運用権利者面積（残留）×期間（</t>
    </r>
    <r>
      <rPr>
        <sz val="8"/>
        <color indexed="10"/>
        <rFont val="ＭＳ Ｐゴシック"/>
        <family val="3"/>
        <charset val="128"/>
      </rPr>
      <t>36</t>
    </r>
    <r>
      <rPr>
        <sz val="8"/>
        <rFont val="ＭＳ Ｐゴシック"/>
        <family val="3"/>
        <charset val="128"/>
      </rPr>
      <t>ヶ月）</t>
    </r>
    <rPh sb="0" eb="2">
      <t>ジュウゼン</t>
    </rPh>
    <rPh sb="2" eb="4">
      <t>ウンヨウ</t>
    </rPh>
    <rPh sb="4" eb="7">
      <t>ケンリシャ</t>
    </rPh>
    <rPh sb="7" eb="9">
      <t>メンセキ</t>
    </rPh>
    <rPh sb="10" eb="12">
      <t>ザンリュウ</t>
    </rPh>
    <rPh sb="14" eb="16">
      <t>キカン</t>
    </rPh>
    <phoneticPr fontId="2"/>
  </si>
  <si>
    <t>ホテル部分補助対象外</t>
    <rPh sb="3" eb="5">
      <t>ブブン</t>
    </rPh>
    <rPh sb="5" eb="7">
      <t>ホジョ</t>
    </rPh>
    <rPh sb="7" eb="9">
      <t>タイショウ</t>
    </rPh>
    <rPh sb="9" eb="10">
      <t>ガイ</t>
    </rPh>
    <phoneticPr fontId="2"/>
  </si>
  <si>
    <t>■基本設計料率計算</t>
    <rPh sb="1" eb="3">
      <t>キホン</t>
    </rPh>
    <rPh sb="3" eb="5">
      <t>セッケイ</t>
    </rPh>
    <rPh sb="5" eb="6">
      <t>リョウ</t>
    </rPh>
    <rPh sb="6" eb="7">
      <t>リツ</t>
    </rPh>
    <rPh sb="7" eb="9">
      <t>ケイサン</t>
    </rPh>
    <phoneticPr fontId="36"/>
  </si>
  <si>
    <t>■建築設計料率計算</t>
    <rPh sb="1" eb="3">
      <t>ケンチク</t>
    </rPh>
    <rPh sb="3" eb="5">
      <t>セッケイ</t>
    </rPh>
    <rPh sb="5" eb="6">
      <t>リョウ</t>
    </rPh>
    <rPh sb="6" eb="7">
      <t>リツ</t>
    </rPh>
    <rPh sb="7" eb="9">
      <t>ケイサン</t>
    </rPh>
    <phoneticPr fontId="36"/>
  </si>
  <si>
    <t>基本設計料</t>
    <rPh sb="0" eb="2">
      <t>キホン</t>
    </rPh>
    <rPh sb="2" eb="4">
      <t>セッケイ</t>
    </rPh>
    <rPh sb="4" eb="5">
      <t>リョウ</t>
    </rPh>
    <phoneticPr fontId="36"/>
  </si>
  <si>
    <t>建築設計料</t>
    <rPh sb="0" eb="2">
      <t>ケンチク</t>
    </rPh>
    <rPh sb="2" eb="4">
      <t>セッケイ</t>
    </rPh>
    <rPh sb="4" eb="5">
      <t>リョウ</t>
    </rPh>
    <phoneticPr fontId="36"/>
  </si>
  <si>
    <t>実施設計</t>
    <rPh sb="0" eb="2">
      <t>ジッシ</t>
    </rPh>
    <rPh sb="2" eb="4">
      <t>セッケイ</t>
    </rPh>
    <phoneticPr fontId="36"/>
  </si>
  <si>
    <t>工事監理</t>
    <rPh sb="0" eb="2">
      <t>コウジ</t>
    </rPh>
    <rPh sb="2" eb="4">
      <t>カンリ</t>
    </rPh>
    <phoneticPr fontId="36"/>
  </si>
  <si>
    <t>R2金沢　設計料　料率確認表</t>
    <rPh sb="2" eb="4">
      <t>カナザワ</t>
    </rPh>
    <rPh sb="5" eb="7">
      <t>セッケイ</t>
    </rPh>
    <rPh sb="7" eb="8">
      <t>リョウ</t>
    </rPh>
    <rPh sb="9" eb="11">
      <t>リョウリツ</t>
    </rPh>
    <rPh sb="11" eb="13">
      <t>カクニン</t>
    </rPh>
    <rPh sb="13" eb="14">
      <t>ヒョウ</t>
    </rPh>
    <phoneticPr fontId="36"/>
  </si>
  <si>
    <t>∑①～⑤</t>
    <phoneticPr fontId="2"/>
  </si>
  <si>
    <t>④用途別床単価</t>
    <rPh sb="1" eb="3">
      <t>ヨウト</t>
    </rPh>
    <rPh sb="3" eb="4">
      <t>ベツ</t>
    </rPh>
    <rPh sb="4" eb="5">
      <t>ユカ</t>
    </rPh>
    <rPh sb="5" eb="7">
      <t>タンカ</t>
    </rPh>
    <phoneticPr fontId="2"/>
  </si>
  <si>
    <t>④'市場床価格合計</t>
    <rPh sb="2" eb="4">
      <t>シジョウ</t>
    </rPh>
    <rPh sb="4" eb="5">
      <t>ユカ</t>
    </rPh>
    <rPh sb="5" eb="7">
      <t>カカク</t>
    </rPh>
    <rPh sb="7" eb="9">
      <t>ゴウケイ</t>
    </rPh>
    <phoneticPr fontId="2"/>
  </si>
  <si>
    <t>予備費・その他</t>
    <rPh sb="0" eb="2">
      <t>ヨビ</t>
    </rPh>
    <rPh sb="2" eb="3">
      <t>ヒ</t>
    </rPh>
    <rPh sb="6" eb="7">
      <t>タ</t>
    </rPh>
    <phoneticPr fontId="2"/>
  </si>
  <si>
    <t>■片町四番組海側地区　概略資金計画（EV振替案20210113）</t>
    <rPh sb="1" eb="2">
      <t>カタ</t>
    </rPh>
    <rPh sb="2" eb="3">
      <t>マチ</t>
    </rPh>
    <rPh sb="3" eb="4">
      <t>ヨン</t>
    </rPh>
    <rPh sb="4" eb="6">
      <t>バングミ</t>
    </rPh>
    <rPh sb="6" eb="8">
      <t>ウミガワ</t>
    </rPh>
    <rPh sb="8" eb="10">
      <t>チク</t>
    </rPh>
    <rPh sb="11" eb="13">
      <t>ガイリャク</t>
    </rPh>
    <rPh sb="13" eb="15">
      <t>シキン</t>
    </rPh>
    <rPh sb="15" eb="17">
      <t>ケイカク</t>
    </rPh>
    <rPh sb="20" eb="22">
      <t>フリカエ</t>
    </rPh>
    <rPh sb="22" eb="23">
      <t>アン</t>
    </rPh>
    <phoneticPr fontId="2"/>
  </si>
  <si>
    <t>その他工事費</t>
    <rPh sb="2" eb="3">
      <t>タ</t>
    </rPh>
    <rPh sb="3" eb="6">
      <t>コウジヒ</t>
    </rPh>
    <phoneticPr fontId="2"/>
  </si>
  <si>
    <t>工事費×２％</t>
    <rPh sb="0" eb="3">
      <t>コウジヒ</t>
    </rPh>
    <phoneticPr fontId="2"/>
  </si>
  <si>
    <t>【1】概略資金計画［片町四番組海側地区（EV振替案20210113）］</t>
    <rPh sb="3" eb="5">
      <t>ガイリャク</t>
    </rPh>
    <rPh sb="5" eb="7">
      <t>シキン</t>
    </rPh>
    <rPh sb="7" eb="9">
      <t>ケイカク</t>
    </rPh>
    <phoneticPr fontId="2"/>
  </si>
  <si>
    <t>小計③</t>
    <rPh sb="0" eb="2">
      <t>ショウケイ</t>
    </rPh>
    <phoneticPr fontId="2"/>
  </si>
  <si>
    <t>計画延床面積×単価</t>
    <phoneticPr fontId="2"/>
  </si>
  <si>
    <t>現況測量、建物調査、資金計画作成等</t>
    <rPh sb="0" eb="4">
      <t>ゲンキョウソクリョウ</t>
    </rPh>
    <rPh sb="5" eb="9">
      <t>タテモノチョウサ</t>
    </rPh>
    <rPh sb="10" eb="14">
      <t>シキンケイカク</t>
    </rPh>
    <rPh sb="14" eb="16">
      <t>サクセイ</t>
    </rPh>
    <rPh sb="16" eb="17">
      <t>ナド</t>
    </rPh>
    <phoneticPr fontId="2"/>
  </si>
  <si>
    <t>ボーリング調査</t>
    <rPh sb="5" eb="7">
      <t>チョウサ</t>
    </rPh>
    <phoneticPr fontId="2"/>
  </si>
  <si>
    <t>その他①</t>
    <rPh sb="2" eb="3">
      <t>タ</t>
    </rPh>
    <phoneticPr fontId="2"/>
  </si>
  <si>
    <t>土地補償費</t>
    <rPh sb="0" eb="2">
      <t>トチ</t>
    </rPh>
    <rPh sb="2" eb="4">
      <t>ホショウ</t>
    </rPh>
    <rPh sb="4" eb="5">
      <t>ヒ</t>
    </rPh>
    <phoneticPr fontId="2"/>
  </si>
  <si>
    <t>建物補償費</t>
    <rPh sb="0" eb="2">
      <t>タテモノ</t>
    </rPh>
    <rPh sb="2" eb="4">
      <t>ホショウ</t>
    </rPh>
    <rPh sb="4" eb="5">
      <t>ヒ</t>
    </rPh>
    <phoneticPr fontId="2"/>
  </si>
  <si>
    <t>その他補償費①</t>
    <rPh sb="2" eb="3">
      <t>タ</t>
    </rPh>
    <rPh sb="3" eb="6">
      <t>ホショウヒ</t>
    </rPh>
    <phoneticPr fontId="2"/>
  </si>
  <si>
    <t>その他補償費②</t>
    <rPh sb="2" eb="6">
      <t>タホショウヒ</t>
    </rPh>
    <phoneticPr fontId="2"/>
  </si>
  <si>
    <t>∑小計①～④×2.5％</t>
    <rPh sb="1" eb="2">
      <t>ショウ</t>
    </rPh>
    <rPh sb="2" eb="3">
      <t>ケイ</t>
    </rPh>
    <phoneticPr fontId="2"/>
  </si>
  <si>
    <t>∑小計①～⑥×2％</t>
    <phoneticPr fontId="2"/>
  </si>
  <si>
    <t>告示8号業務内容</t>
    <rPh sb="0" eb="2">
      <t>コクジ</t>
    </rPh>
    <rPh sb="3" eb="4">
      <t>ゴウ</t>
    </rPh>
    <rPh sb="4" eb="8">
      <t>ギョウムナイヨウ</t>
    </rPh>
    <phoneticPr fontId="2"/>
  </si>
  <si>
    <t>実施設計（告示8号業務内容）</t>
    <rPh sb="0" eb="4">
      <t>ジッシセッケイ</t>
    </rPh>
    <rPh sb="5" eb="7">
      <t>コクジ</t>
    </rPh>
    <rPh sb="8" eb="9">
      <t>ゴウ</t>
    </rPh>
    <rPh sb="9" eb="11">
      <t>ギョウム</t>
    </rPh>
    <rPh sb="11" eb="13">
      <t>ナイヨウ</t>
    </rPh>
    <phoneticPr fontId="2"/>
  </si>
  <si>
    <t>一般監理費（告示8号業務内容）</t>
    <rPh sb="0" eb="2">
      <t>イッパン</t>
    </rPh>
    <rPh sb="2" eb="4">
      <t>カンリ</t>
    </rPh>
    <rPh sb="4" eb="5">
      <t>ヒ</t>
    </rPh>
    <rPh sb="6" eb="8">
      <t>コクジ</t>
    </rPh>
    <rPh sb="9" eb="10">
      <t>ゴウ</t>
    </rPh>
    <rPh sb="10" eb="14">
      <t>ギョウムナイヨウ</t>
    </rPh>
    <phoneticPr fontId="2"/>
  </si>
  <si>
    <t>ー</t>
    <phoneticPr fontId="2"/>
  </si>
  <si>
    <t>従前土地買収費</t>
    <rPh sb="0" eb="2">
      <t>ジュウゼン</t>
    </rPh>
    <rPh sb="2" eb="4">
      <t>トチ</t>
    </rPh>
    <rPh sb="4" eb="7">
      <t>バイシュウヒ</t>
    </rPh>
    <phoneticPr fontId="2"/>
  </si>
  <si>
    <t>従前建物買収費</t>
    <rPh sb="0" eb="2">
      <t>ジュウゼン</t>
    </rPh>
    <rPh sb="2" eb="4">
      <t>タテモノ</t>
    </rPh>
    <rPh sb="4" eb="7">
      <t>バイシュウヒ</t>
    </rPh>
    <phoneticPr fontId="2"/>
  </si>
  <si>
    <t xml:space="preserve">事業期間（４年）、金利（1.5%）を想定 </t>
    <rPh sb="0" eb="2">
      <t>ジギョウ</t>
    </rPh>
    <rPh sb="2" eb="4">
      <t>キカン</t>
    </rPh>
    <rPh sb="6" eb="7">
      <t>ネン</t>
    </rPh>
    <rPh sb="9" eb="11">
      <t>キンリ</t>
    </rPh>
    <rPh sb="18" eb="20">
      <t>ソウテイ</t>
    </rPh>
    <phoneticPr fontId="2"/>
  </si>
  <si>
    <t>補助対象外</t>
    <rPh sb="0" eb="5">
      <t>ホジョタイショウガイ</t>
    </rPh>
    <phoneticPr fontId="2"/>
  </si>
  <si>
    <t>補助対象外</t>
    <rPh sb="0" eb="2">
      <t>ホジョ</t>
    </rPh>
    <rPh sb="2" eb="4">
      <t>タイショウ</t>
    </rPh>
    <rPh sb="4" eb="5">
      <t>ガイ</t>
    </rPh>
    <phoneticPr fontId="2"/>
  </si>
  <si>
    <t>補助対象外</t>
    <rPh sb="0" eb="4">
      <t>ホジョタイショウ</t>
    </rPh>
    <rPh sb="4" eb="5">
      <t>ガイ</t>
    </rPh>
    <phoneticPr fontId="2"/>
  </si>
  <si>
    <t>支出金の算定</t>
    <rPh sb="0" eb="3">
      <t>シシュツキン</t>
    </rPh>
    <rPh sb="4" eb="6">
      <t>サンテイ</t>
    </rPh>
    <phoneticPr fontId="2"/>
  </si>
  <si>
    <t>収入金の算定</t>
    <rPh sb="0" eb="3">
      <t>シュウニュウキン</t>
    </rPh>
    <rPh sb="4" eb="6">
      <t>サンテイ</t>
    </rPh>
    <phoneticPr fontId="2"/>
  </si>
  <si>
    <t>包括積算に含む</t>
    <rPh sb="0" eb="4">
      <t>ホウカツセキサン</t>
    </rPh>
    <rPh sb="5" eb="6">
      <t>フク</t>
    </rPh>
    <phoneticPr fontId="2"/>
  </si>
  <si>
    <t>※1.包括積算の階数別乗率：3～5F(22%)、6～19F(24%)、20F以上(26%)</t>
    <rPh sb="3" eb="7">
      <t>ホウカツセキサン</t>
    </rPh>
    <rPh sb="8" eb="9">
      <t>カイ</t>
    </rPh>
    <rPh sb="10" eb="11">
      <t>ベツ</t>
    </rPh>
    <rPh sb="11" eb="12">
      <t>ジョウ</t>
    </rPh>
    <rPh sb="12" eb="13">
      <t>リツ</t>
    </rPh>
    <rPh sb="38" eb="40">
      <t>イジョウ</t>
    </rPh>
    <phoneticPr fontId="2"/>
  </si>
  <si>
    <t>※2.包括積算の適用対象から、分譲共同住宅の保留床に係る共用通行部分を除く</t>
    <rPh sb="3" eb="7">
      <t>ホウカツセキサン</t>
    </rPh>
    <rPh sb="8" eb="10">
      <t>テキヨウ</t>
    </rPh>
    <rPh sb="10" eb="12">
      <t>タイショウ</t>
    </rPh>
    <rPh sb="15" eb="17">
      <t>ブンジョウ</t>
    </rPh>
    <rPh sb="17" eb="21">
      <t>キョウドウジュウタク</t>
    </rPh>
    <rPh sb="22" eb="25">
      <t>ホリュウユカ</t>
    </rPh>
    <rPh sb="26" eb="27">
      <t>カカワ</t>
    </rPh>
    <rPh sb="28" eb="32">
      <t>キョウヨウツウコウ</t>
    </rPh>
    <rPh sb="32" eb="34">
      <t>ブブン</t>
    </rPh>
    <rPh sb="35" eb="36">
      <t>ノゾ</t>
    </rPh>
    <phoneticPr fontId="2"/>
  </si>
  <si>
    <t xml:space="preserve">補助対象：100%（個別積算）
</t>
    <phoneticPr fontId="2"/>
  </si>
  <si>
    <t>包括積算対象：下記から階数に伴う乗率を記入してください</t>
    <rPh sb="0" eb="4">
      <t>ホウカツセキサン</t>
    </rPh>
    <rPh sb="4" eb="6">
      <t>タイショウ</t>
    </rPh>
    <rPh sb="7" eb="9">
      <t>カキ</t>
    </rPh>
    <rPh sb="11" eb="13">
      <t>カイスウ</t>
    </rPh>
    <rPh sb="14" eb="15">
      <t>トモナ</t>
    </rPh>
    <rPh sb="16" eb="17">
      <t>ジョウ</t>
    </rPh>
    <rPh sb="17" eb="18">
      <t>リツ</t>
    </rPh>
    <rPh sb="19" eb="21">
      <t>キニュウ</t>
    </rPh>
    <phoneticPr fontId="2"/>
  </si>
  <si>
    <t>包括積算対象：下記から階数に伴う乗率を記入してください</t>
    <phoneticPr fontId="2"/>
  </si>
  <si>
    <t>金額（百万円）</t>
    <rPh sb="0" eb="2">
      <t>キンガク</t>
    </rPh>
    <rPh sb="3" eb="6">
      <t>ヒャクマンエン</t>
    </rPh>
    <phoneticPr fontId="2"/>
  </si>
  <si>
    <t>□収支計画表</t>
    <rPh sb="1" eb="5">
      <t>シュウシケイカク</t>
    </rPh>
    <rPh sb="5" eb="6">
      <t>ヒョウ</t>
    </rPh>
    <phoneticPr fontId="2"/>
  </si>
  <si>
    <t>階数</t>
    <rPh sb="0" eb="2">
      <t>カイスウ</t>
    </rPh>
    <phoneticPr fontId="2"/>
  </si>
  <si>
    <t>専有面積</t>
    <rPh sb="0" eb="4">
      <t>センユウメンセキ</t>
    </rPh>
    <phoneticPr fontId="2"/>
  </si>
  <si>
    <t>床価格</t>
    <rPh sb="0" eb="3">
      <t>ユカカカク</t>
    </rPh>
    <phoneticPr fontId="2"/>
  </si>
  <si>
    <t>単価（㎡／千円）</t>
    <rPh sb="0" eb="2">
      <t>タンカ</t>
    </rPh>
    <rPh sb="5" eb="7">
      <t>センエン</t>
    </rPh>
    <phoneticPr fontId="2"/>
  </si>
  <si>
    <t>単価（坪／千円）</t>
    <rPh sb="0" eb="2">
      <t>タンカ</t>
    </rPh>
    <rPh sb="3" eb="4">
      <t>ツボ</t>
    </rPh>
    <rPh sb="5" eb="7">
      <t>センエン</t>
    </rPh>
    <phoneticPr fontId="2"/>
  </si>
  <si>
    <t>床の処分先</t>
    <rPh sb="0" eb="1">
      <t>ユカ</t>
    </rPh>
    <rPh sb="2" eb="5">
      <t>ショブンサキ</t>
    </rPh>
    <phoneticPr fontId="2"/>
  </si>
  <si>
    <t>例）エンドユーザー</t>
    <rPh sb="0" eb="1">
      <t>レイ</t>
    </rPh>
    <phoneticPr fontId="2"/>
  </si>
  <si>
    <t>例）○○会社</t>
    <rPh sb="0" eb="1">
      <t>レイ</t>
    </rPh>
    <rPh sb="4" eb="6">
      <t>カイシャ</t>
    </rPh>
    <phoneticPr fontId="2"/>
  </si>
  <si>
    <t>用途別床単価</t>
    <rPh sb="0" eb="3">
      <t>ヨウトベツ</t>
    </rPh>
    <rPh sb="3" eb="6">
      <t>ユカタンカ</t>
    </rPh>
    <phoneticPr fontId="2"/>
  </si>
  <si>
    <t>□保留床処分金の内訳；上記の保留床処分金と下記の床価格は同額となるよう記入してください。</t>
    <rPh sb="1" eb="4">
      <t>ホリュウユカ</t>
    </rPh>
    <rPh sb="4" eb="7">
      <t>ショブンキン</t>
    </rPh>
    <rPh sb="8" eb="10">
      <t>ウチワケ</t>
    </rPh>
    <rPh sb="11" eb="13">
      <t>ジョウキ</t>
    </rPh>
    <rPh sb="14" eb="20">
      <t>ホリュウユカショブンキン</t>
    </rPh>
    <rPh sb="21" eb="23">
      <t>カキ</t>
    </rPh>
    <rPh sb="24" eb="27">
      <t>ユカカカク</t>
    </rPh>
    <rPh sb="28" eb="30">
      <t>ドウガク</t>
    </rPh>
    <rPh sb="35" eb="37">
      <t>キニュウ</t>
    </rPh>
    <phoneticPr fontId="2"/>
  </si>
  <si>
    <r>
      <t>【様式３】事業全体の収支計画　　</t>
    </r>
    <r>
      <rPr>
        <sz val="11"/>
        <color rgb="FFFF0000"/>
        <rFont val="ＭＳ Ｐゴシック"/>
        <family val="3"/>
        <charset val="128"/>
      </rPr>
      <t>黄色の枠内のみ記入してください</t>
    </r>
    <rPh sb="1" eb="3">
      <t>ヨウシキ</t>
    </rPh>
    <rPh sb="5" eb="7">
      <t>ジギョウ</t>
    </rPh>
    <rPh sb="7" eb="9">
      <t>ゼンタイ</t>
    </rPh>
    <rPh sb="10" eb="12">
      <t>シュウシ</t>
    </rPh>
    <rPh sb="12" eb="14">
      <t>ケイカク</t>
    </rPh>
    <rPh sb="16" eb="18">
      <t>キイロ</t>
    </rPh>
    <rPh sb="19" eb="21">
      <t>ワクナイ</t>
    </rPh>
    <rPh sb="23" eb="25">
      <t>キニュウ</t>
    </rPh>
    <phoneticPr fontId="2"/>
  </si>
  <si>
    <t>建築物除却費</t>
  </si>
  <si>
    <t>建物買収相当額（権利変換）</t>
  </si>
  <si>
    <t>共同施設整備費</t>
  </si>
  <si>
    <t>例）商業・業務施設</t>
    <rPh sb="0" eb="1">
      <t>レイ</t>
    </rPh>
    <rPh sb="2" eb="4">
      <t>ショウギョウ</t>
    </rPh>
    <rPh sb="5" eb="9">
      <t>ギョウムシセツ</t>
    </rPh>
    <phoneticPr fontId="2"/>
  </si>
  <si>
    <t>例）ホテル</t>
    <rPh sb="0" eb="1">
      <t>レイ</t>
    </rPh>
    <phoneticPr fontId="2"/>
  </si>
  <si>
    <t>例）分譲住宅</t>
    <rPh sb="0" eb="1">
      <t>レイ</t>
    </rPh>
    <rPh sb="2" eb="6">
      <t>ブンジョウジュウタク</t>
    </rPh>
    <phoneticPr fontId="2"/>
  </si>
  <si>
    <t>例）商業・業務（専有面積）</t>
    <rPh sb="0" eb="1">
      <t>レイ</t>
    </rPh>
    <rPh sb="5" eb="7">
      <t>ギョウム</t>
    </rPh>
    <rPh sb="10" eb="12">
      <t>メンセキ</t>
    </rPh>
    <phoneticPr fontId="2"/>
  </si>
  <si>
    <t>例）施設共用面積</t>
    <rPh sb="0" eb="1">
      <t>レイ</t>
    </rPh>
    <rPh sb="6" eb="8">
      <t>メンセキ</t>
    </rPh>
    <phoneticPr fontId="2"/>
  </si>
  <si>
    <t>例）駐輪場</t>
    <rPh sb="0" eb="1">
      <t>レイ</t>
    </rPh>
    <phoneticPr fontId="2"/>
  </si>
  <si>
    <t>例）住宅（専有面積）</t>
    <rPh sb="0" eb="1">
      <t>レイ</t>
    </rPh>
    <rPh sb="7" eb="9">
      <t>メンセキ</t>
    </rPh>
    <phoneticPr fontId="2"/>
  </si>
  <si>
    <t>例）施設共用（住宅部分）</t>
    <rPh sb="0" eb="1">
      <t>レイ</t>
    </rPh>
    <phoneticPr fontId="2"/>
  </si>
  <si>
    <t>例）駐車場（タワー型）</t>
    <rPh sb="0" eb="1">
      <t>レイ</t>
    </rPh>
    <phoneticPr fontId="2"/>
  </si>
  <si>
    <t>例）駐車場（荷捌き）</t>
    <rPh sb="0" eb="1">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</si>
</sst>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0&quot;㎡&quot;"/>
    <numFmt numFmtId="177" formatCode="#,##0&quot;千&quot;&quot;円&quot;&quot;/&quot;&quot;㎡&quot;"/>
    <numFmt numFmtId="178" formatCode="#,##0&quot;百&quot;&quot;万&quot;&quot;円&quot;"/>
    <numFmt numFmtId="179" formatCode="0.0%"/>
    <numFmt numFmtId="180" formatCode="#,##0&quot;本&quot;"/>
    <numFmt numFmtId="181" formatCode="#,##0&quot;千&quot;&quot;円&quot;"/>
    <numFmt numFmtId="182" formatCode="#,##0.0&quot;年&quot;"/>
    <numFmt numFmtId="183" formatCode="#,##0&quot;千&quot;&quot;円&quot;&quot;/&quot;&quot;坪&quot;"/>
    <numFmt numFmtId="184" formatCode="#,##0&quot;坪&quot;"/>
    <numFmt numFmtId="185" formatCode="0.0"/>
    <numFmt numFmtId="186" formatCode="#,##0_ "/>
    <numFmt numFmtId="187" formatCode="#,##0_);[Red]\(#,##0\)"/>
    <numFmt numFmtId="188" formatCode="#,##0.0&quot;億円&quot;"/>
    <numFmt numFmtId="189" formatCode="#,##0.00_ ;[Red]\-#,##0.00\ "/>
    <numFmt numFmtId="190" formatCode="#,##0.00_ "/>
    <numFmt numFmtId="191" formatCode="#,##0&quot;百万円&quot;"/>
    <numFmt numFmtId="192" formatCode="#,##0.0_ "/>
    <numFmt numFmtId="193" formatCode="#,##0_ ;[Red]\-#,##0\ "/>
    <numFmt numFmtId="194" formatCode="0_);[Red]\(0\)"/>
    <numFmt numFmtId="195" formatCode="#,##0.0000000_ ;[Red]\-#,##0.0000000\ "/>
    <numFmt numFmtId="196" formatCode="#,##0&quot;千円/㎡・月&quot;"/>
    <numFmt numFmtId="197" formatCode="#,##0&quot;億円&quot;"/>
    <numFmt numFmtId="198" formatCode="#,##0\ &quot;㎡&quot;"/>
    <numFmt numFmtId="199" formatCode="#,##0\ "/>
    <numFmt numFmtId="200" formatCode="0.0_ "/>
    <numFmt numFmtId="201" formatCode="#,##0.0000_ "/>
    <numFmt numFmtId="202" formatCode="#\ ?/10"/>
    <numFmt numFmtId="203" formatCode="General&quot;台&quot;"/>
    <numFmt numFmtId="204" formatCode="#,##0&quot;千&quot;&quot;円&quot;&quot;/&quot;&quot;台&quot;"/>
    <numFmt numFmtId="205" formatCode="#,##0.0&quot;百万円&quot;"/>
    <numFmt numFmtId="206" formatCode="#,##0.00000&quot;百万円&quot;"/>
    <numFmt numFmtId="207" formatCode="#,##0.00_);[Red]\(#,##0.00\)"/>
    <numFmt numFmtId="208" formatCode="0.00_ "/>
    <numFmt numFmtId="209" formatCode="0,000&quot;百万円&quot;"/>
    <numFmt numFmtId="210" formatCode="0.00&quot;百万円&quot;"/>
    <numFmt numFmtId="211" formatCode="#,##0.000;[Red]\-#,##0.000"/>
    <numFmt numFmtId="212" formatCode="0.000&quot;百万円&quot;"/>
    <numFmt numFmtId="213" formatCode="#\ ?/3"/>
  </numFmts>
  <fonts count="6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color indexed="9"/>
      <name val="ＭＳ Ｐゴシック"/>
      <family val="3"/>
      <charset val="128"/>
    </font>
    <font>
      <sz val="11"/>
      <color indexed="9"/>
      <name val="ＭＳ Ｐゴシック"/>
      <family val="3"/>
      <charset val="128"/>
    </font>
    <font>
      <sz val="14"/>
      <name val="HGｺﾞｼｯｸE"/>
      <family val="3"/>
      <charset val="128"/>
    </font>
    <font>
      <sz val="14"/>
      <name val="HGSｺﾞｼｯｸE"/>
      <family val="3"/>
      <charset val="128"/>
    </font>
    <font>
      <sz val="9"/>
      <color indexed="8"/>
      <name val="ＭＳ ゴシック"/>
      <family val="3"/>
      <charset val="128"/>
    </font>
    <font>
      <sz val="8"/>
      <color indexed="8"/>
      <name val="ＭＳ Ｐゴシック"/>
      <family val="3"/>
      <charset val="128"/>
    </font>
    <font>
      <sz val="7"/>
      <name val="ＭＳ Ｐゴシック"/>
      <family val="3"/>
      <charset val="128"/>
    </font>
    <font>
      <sz val="6"/>
      <name val="ＭＳ Ｐ明朝"/>
      <family val="1"/>
      <charset val="128"/>
    </font>
    <font>
      <sz val="10"/>
      <color indexed="8"/>
      <name val="ＭＳ Ｐゴシック"/>
      <family val="3"/>
      <charset val="128"/>
    </font>
    <font>
      <b/>
      <sz val="12"/>
      <name val="ＭＳ ゴシック"/>
      <family val="3"/>
      <charset val="128"/>
    </font>
    <font>
      <sz val="10"/>
      <name val="ＭＳ ゴシック"/>
      <family val="3"/>
      <charset val="128"/>
    </font>
    <font>
      <b/>
      <i/>
      <sz val="10"/>
      <name val="ＭＳ ゴシック"/>
      <family val="3"/>
      <charset val="128"/>
    </font>
    <font>
      <b/>
      <sz val="11"/>
      <name val="ＭＳ Ｐゴシック"/>
      <family val="3"/>
      <charset val="128"/>
    </font>
    <font>
      <sz val="9"/>
      <name val="ＭＳ ゴシック"/>
      <family val="3"/>
      <charset val="128"/>
    </font>
    <font>
      <sz val="8"/>
      <name val="ＭＳ ゴシック"/>
      <family val="3"/>
      <charset val="128"/>
    </font>
    <font>
      <sz val="9"/>
      <color indexed="57"/>
      <name val="ＭＳ Ｐゴシック"/>
      <family val="3"/>
      <charset val="128"/>
    </font>
    <font>
      <i/>
      <sz val="11"/>
      <name val="ＭＳ Ｐゴシック"/>
      <family val="3"/>
      <charset val="128"/>
    </font>
    <font>
      <i/>
      <sz val="8"/>
      <name val="ＭＳ Ｐゴシック"/>
      <family val="3"/>
      <charset val="128"/>
    </font>
    <font>
      <u/>
      <sz val="10"/>
      <name val="ＭＳ Ｐゴシック"/>
      <family val="3"/>
      <charset val="128"/>
    </font>
    <font>
      <u/>
      <sz val="8"/>
      <name val="ＭＳ Ｐゴシック"/>
      <family val="3"/>
      <charset val="128"/>
    </font>
    <font>
      <b/>
      <sz val="14"/>
      <name val="ＭＳ Ｐゴシック"/>
      <family val="3"/>
      <charset val="128"/>
    </font>
    <font>
      <sz val="11"/>
      <name val="ＭＳ ゴシック"/>
      <family val="3"/>
      <charset val="128"/>
    </font>
    <font>
      <b/>
      <sz val="11"/>
      <name val="ＭＳ ゴシック"/>
      <family val="3"/>
      <charset val="128"/>
    </font>
    <font>
      <b/>
      <sz val="10"/>
      <name val="ＭＳ Ｐゴシック"/>
      <family val="3"/>
      <charset val="128"/>
    </font>
    <font>
      <b/>
      <sz val="12"/>
      <color indexed="10"/>
      <name val="ＭＳ Ｐゴシック"/>
      <family val="3"/>
      <charset val="128"/>
    </font>
    <font>
      <sz val="12"/>
      <name val="ＭＳ Ｐゴシック"/>
      <family val="3"/>
      <charset val="128"/>
    </font>
    <font>
      <sz val="8"/>
      <color indexed="10"/>
      <name val="ＭＳ Ｐゴシック"/>
      <family val="3"/>
      <charset val="128"/>
    </font>
    <font>
      <sz val="7"/>
      <color indexed="10"/>
      <name val="ＭＳ Ｐゴシック"/>
      <family val="3"/>
      <charset val="128"/>
    </font>
    <font>
      <b/>
      <sz val="8"/>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0"/>
      <name val="ＭＳ Ｐゴシック"/>
      <family val="3"/>
      <charset val="128"/>
    </font>
    <font>
      <sz val="8"/>
      <color theme="1"/>
      <name val="ＭＳ Ｐゴシック"/>
      <family val="3"/>
      <charset val="128"/>
    </font>
    <font>
      <sz val="14"/>
      <color theme="0"/>
      <name val="ＭＳ Ｐゴシック"/>
      <family val="3"/>
      <charset val="128"/>
      <scheme val="minor"/>
    </font>
    <font>
      <sz val="12"/>
      <name val="ＭＳ Ｐゴシック"/>
      <family val="3"/>
      <charset val="128"/>
      <scheme val="minor"/>
    </font>
    <font>
      <sz val="10"/>
      <color rgb="FF333333"/>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2"/>
      <color theme="1"/>
      <name val="ＭＳ Ｐゴシック"/>
      <family val="3"/>
      <charset val="128"/>
      <scheme val="minor"/>
    </font>
    <font>
      <sz val="8"/>
      <color theme="0"/>
      <name val="ＭＳ Ｐゴシック"/>
      <family val="3"/>
      <charset val="128"/>
    </font>
    <font>
      <i/>
      <sz val="11"/>
      <color theme="0"/>
      <name val="ＭＳ Ｐゴシック"/>
      <family val="3"/>
      <charset val="128"/>
    </font>
    <font>
      <sz val="11"/>
      <color rgb="FFFF0000"/>
      <name val="ＭＳ Ｐゴシック"/>
      <family val="3"/>
      <charset val="128"/>
    </font>
    <font>
      <sz val="12"/>
      <color theme="0"/>
      <name val="HGS創英角ｺﾞｼｯｸUB"/>
      <family val="3"/>
      <charset val="128"/>
    </font>
    <font>
      <sz val="11"/>
      <color theme="1"/>
      <name val="ＭＳ Ｐゴシック"/>
      <family val="3"/>
      <charset val="128"/>
    </font>
    <font>
      <sz val="10"/>
      <color theme="0"/>
      <name val="ＭＳ Ｐゴシック"/>
      <family val="3"/>
      <charset val="128"/>
    </font>
    <font>
      <sz val="11"/>
      <color rgb="FFFFC000"/>
      <name val="ＭＳ Ｐゴシック"/>
      <family val="3"/>
      <charset val="128"/>
    </font>
    <font>
      <sz val="9"/>
      <color theme="1"/>
      <name val="ＭＳ Ｐゴシック"/>
      <family val="3"/>
      <charset val="128"/>
    </font>
    <font>
      <sz val="8"/>
      <color rgb="FFFF0000"/>
      <name val="ＭＳ Ｐゴシック"/>
      <family val="3"/>
      <charset val="128"/>
    </font>
    <font>
      <sz val="6"/>
      <color rgb="FFFF0000"/>
      <name val="ＭＳ Ｐゴシック"/>
      <family val="3"/>
      <charset val="128"/>
    </font>
    <font>
      <b/>
      <sz val="8"/>
      <color rgb="FFFF0000"/>
      <name val="ＭＳ Ｐゴシック"/>
      <family val="3"/>
      <charset val="128"/>
    </font>
    <font>
      <sz val="9"/>
      <color theme="1"/>
      <name val="ＭＳ Ｐゴシック"/>
      <family val="3"/>
      <charset val="128"/>
      <scheme val="minor"/>
    </font>
    <font>
      <sz val="11"/>
      <color theme="4"/>
      <name val="ＭＳ Ｐゴシック"/>
      <family val="3"/>
      <charset val="128"/>
    </font>
    <font>
      <b/>
      <sz val="9"/>
      <color theme="1"/>
      <name val="ＭＳ Ｐゴシック"/>
      <family val="3"/>
      <charset val="128"/>
      <scheme val="minor"/>
    </font>
    <font>
      <sz val="9"/>
      <color rgb="FFFF0000"/>
      <name val="ＭＳ Ｐゴシック"/>
      <family val="3"/>
      <charset val="128"/>
    </font>
    <font>
      <b/>
      <sz val="11"/>
      <color rgb="FF0070C0"/>
      <name val="ＭＳ ゴシック"/>
      <family val="3"/>
      <charset val="128"/>
    </font>
    <font>
      <sz val="9"/>
      <color rgb="FF339966"/>
      <name val="ＭＳ ゴシック"/>
      <family val="3"/>
      <charset val="128"/>
    </font>
    <font>
      <sz val="10"/>
      <color rgb="FF0000FF"/>
      <name val="ＭＳ Ｐゴシック"/>
      <family val="3"/>
      <charset val="128"/>
    </font>
  </fonts>
  <fills count="35">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7"/>
        <bgColor indexed="64"/>
      </patternFill>
    </fill>
    <fill>
      <patternFill patternType="solid">
        <fgColor indexed="55"/>
        <bgColor indexed="64"/>
      </patternFill>
    </fill>
    <fill>
      <patternFill patternType="solid">
        <fgColor indexed="9"/>
        <bgColor indexed="64"/>
      </patternFill>
    </fill>
    <fill>
      <patternFill patternType="solid">
        <fgColor indexed="46"/>
        <bgColor indexed="64"/>
      </patternFill>
    </fill>
    <fill>
      <patternFill patternType="solid">
        <fgColor indexed="4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9FAFC"/>
        <bgColor indexed="64"/>
      </patternFill>
    </fill>
    <fill>
      <patternFill patternType="solid">
        <fgColor rgb="FFFFFFFF"/>
        <bgColor indexed="64"/>
      </patternFill>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CCFFFF"/>
        <bgColor indexed="64"/>
      </patternFill>
    </fill>
    <fill>
      <patternFill patternType="solid">
        <fgColor rgb="FFCC99FF"/>
        <bgColor indexed="64"/>
      </patternFill>
    </fill>
    <fill>
      <patternFill patternType="solid">
        <fgColor theme="6" tint="0.39997558519241921"/>
        <bgColor indexed="64"/>
      </patternFill>
    </fill>
    <fill>
      <patternFill patternType="solid">
        <fgColor rgb="FFFF66CC"/>
        <bgColor indexed="64"/>
      </patternFill>
    </fill>
    <fill>
      <patternFill patternType="solid">
        <fgColor rgb="FFD9D9D9"/>
        <bgColor indexed="64"/>
      </patternFill>
    </fill>
    <fill>
      <patternFill patternType="solid">
        <fgColor rgb="FFFF99CC"/>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0.14996795556505021"/>
        <bgColor indexed="64"/>
      </patternFill>
    </fill>
  </fills>
  <borders count="2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double">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right style="double">
        <color indexed="64"/>
      </right>
      <top/>
      <bottom style="double">
        <color indexed="64"/>
      </bottom>
      <diagonal/>
    </border>
    <border>
      <left/>
      <right style="double">
        <color indexed="64"/>
      </right>
      <top style="medium">
        <color indexed="64"/>
      </top>
      <bottom style="medium">
        <color indexed="64"/>
      </bottom>
      <diagonal/>
    </border>
    <border>
      <left/>
      <right/>
      <top/>
      <bottom style="medium">
        <color indexed="23"/>
      </bottom>
      <diagonal/>
    </border>
    <border>
      <left/>
      <right style="thin">
        <color indexed="64"/>
      </right>
      <top/>
      <bottom style="medium">
        <color indexed="23"/>
      </bottom>
      <diagonal/>
    </border>
    <border>
      <left/>
      <right/>
      <top style="medium">
        <color indexed="23"/>
      </top>
      <bottom/>
      <diagonal/>
    </border>
    <border>
      <left/>
      <right/>
      <top style="thin">
        <color indexed="64"/>
      </top>
      <bottom style="dotted">
        <color indexed="64"/>
      </bottom>
      <diagonal/>
    </border>
    <border>
      <left/>
      <right/>
      <top style="hair">
        <color indexed="64"/>
      </top>
      <bottom/>
      <diagonal/>
    </border>
    <border>
      <left style="thin">
        <color indexed="64"/>
      </left>
      <right style="medium">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top style="double">
        <color indexed="64"/>
      </top>
      <bottom style="hair">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hair">
        <color indexed="64"/>
      </top>
      <bottom style="thin">
        <color indexed="64"/>
      </bottom>
      <diagonal/>
    </border>
    <border>
      <left/>
      <right style="thin">
        <color theme="0"/>
      </right>
      <top/>
      <bottom style="double">
        <color indexed="64"/>
      </bottom>
      <diagonal/>
    </border>
    <border>
      <left/>
      <right style="thin">
        <color theme="0"/>
      </right>
      <top/>
      <bottom/>
      <diagonal/>
    </border>
    <border>
      <left style="thin">
        <color theme="0"/>
      </left>
      <right/>
      <top/>
      <bottom/>
      <diagonal/>
    </border>
    <border>
      <left style="thin">
        <color theme="0"/>
      </left>
      <right/>
      <top/>
      <bottom style="double">
        <color indexed="64"/>
      </bottom>
      <diagonal/>
    </border>
    <border>
      <left style="thin">
        <color theme="0"/>
      </left>
      <right style="thin">
        <color indexed="64"/>
      </right>
      <top/>
      <bottom style="double">
        <color indexed="64"/>
      </bottom>
      <diagonal/>
    </border>
    <border>
      <left style="medium">
        <color indexed="64"/>
      </left>
      <right style="thin">
        <color theme="0"/>
      </right>
      <top/>
      <bottom/>
      <diagonal/>
    </border>
    <border>
      <left style="medium">
        <color indexed="64"/>
      </left>
      <right style="thin">
        <color theme="0"/>
      </right>
      <top/>
      <bottom style="double">
        <color indexed="64"/>
      </bottom>
      <diagonal/>
    </border>
    <border>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style="medium">
        <color indexed="64"/>
      </left>
      <right style="thin">
        <color theme="0"/>
      </right>
      <top style="medium">
        <color indexed="64"/>
      </top>
      <bottom style="thin">
        <color indexed="64"/>
      </bottom>
      <diagonal/>
    </border>
    <border>
      <left style="thin">
        <color theme="0"/>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37" fillId="0" borderId="0"/>
    <xf numFmtId="0" fontId="5" fillId="0" borderId="0">
      <alignment vertical="center"/>
    </xf>
    <xf numFmtId="0" fontId="1" fillId="0" borderId="0"/>
    <xf numFmtId="0" fontId="1" fillId="0" borderId="0"/>
    <xf numFmtId="0" fontId="1" fillId="0" borderId="0"/>
  </cellStyleXfs>
  <cellXfs count="1510">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9" fontId="3" fillId="0" borderId="1" xfId="1" applyFont="1" applyBorder="1">
      <alignment vertical="center"/>
    </xf>
    <xf numFmtId="178" fontId="3" fillId="0" borderId="2" xfId="3" applyNumberFormat="1" applyFont="1" applyBorder="1">
      <alignment vertical="center"/>
    </xf>
    <xf numFmtId="0" fontId="3" fillId="0" borderId="3" xfId="0" applyFont="1" applyBorder="1">
      <alignment vertical="center"/>
    </xf>
    <xf numFmtId="178" fontId="3" fillId="0" borderId="3" xfId="3" applyNumberFormat="1" applyFont="1" applyBorder="1">
      <alignment vertical="center"/>
    </xf>
    <xf numFmtId="177" fontId="3" fillId="0" borderId="3" xfId="0" applyNumberFormat="1" applyFont="1" applyBorder="1">
      <alignment vertical="center"/>
    </xf>
    <xf numFmtId="0" fontId="3" fillId="0" borderId="4" xfId="0" applyFont="1" applyBorder="1">
      <alignment vertical="center"/>
    </xf>
    <xf numFmtId="0" fontId="3" fillId="2" borderId="1" xfId="0" applyFont="1" applyFill="1" applyBorder="1">
      <alignment vertical="center"/>
    </xf>
    <xf numFmtId="38" fontId="3" fillId="2" borderId="1" xfId="3" applyFont="1" applyFill="1" applyBorder="1">
      <alignment vertical="center"/>
    </xf>
    <xf numFmtId="178" fontId="3" fillId="2" borderId="1" xfId="3" applyNumberFormat="1" applyFont="1" applyFill="1" applyBorder="1">
      <alignment vertical="center"/>
    </xf>
    <xf numFmtId="178" fontId="3" fillId="0" borderId="1" xfId="0" applyNumberFormat="1" applyFont="1" applyBorder="1">
      <alignment vertical="center"/>
    </xf>
    <xf numFmtId="0" fontId="4" fillId="0" borderId="0" xfId="0" applyFont="1">
      <alignment vertical="center"/>
    </xf>
    <xf numFmtId="0" fontId="5" fillId="0" borderId="0" xfId="0" applyFont="1">
      <alignment vertical="center"/>
    </xf>
    <xf numFmtId="0" fontId="3" fillId="0" borderId="3" xfId="0" applyFont="1" applyBorder="1" applyAlignment="1">
      <alignment vertical="center" shrinkToFit="1"/>
    </xf>
    <xf numFmtId="178" fontId="3" fillId="0" borderId="0" xfId="0" applyNumberFormat="1" applyFont="1">
      <alignment vertical="center"/>
    </xf>
    <xf numFmtId="38" fontId="3" fillId="0" borderId="0" xfId="3" applyFont="1">
      <alignment vertical="center"/>
    </xf>
    <xf numFmtId="0" fontId="3" fillId="0" borderId="5" xfId="0" applyFont="1" applyBorder="1">
      <alignment vertical="center"/>
    </xf>
    <xf numFmtId="178" fontId="3" fillId="0" borderId="4" xfId="3" applyNumberFormat="1" applyFont="1" applyBorder="1">
      <alignment vertical="center"/>
    </xf>
    <xf numFmtId="0" fontId="0" fillId="0" borderId="6" xfId="0" applyBorder="1">
      <alignment vertical="center"/>
    </xf>
    <xf numFmtId="0" fontId="0" fillId="0" borderId="7" xfId="0" applyBorder="1">
      <alignment vertical="center"/>
    </xf>
    <xf numFmtId="0" fontId="4" fillId="0" borderId="7"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9" xfId="0" applyBorder="1">
      <alignment vertical="center"/>
    </xf>
    <xf numFmtId="0" fontId="2" fillId="0" borderId="0" xfId="0" applyFont="1">
      <alignment vertical="center"/>
    </xf>
    <xf numFmtId="0" fontId="0" fillId="0" borderId="0" xfId="0" applyAlignment="1"/>
    <xf numFmtId="0" fontId="0" fillId="0" borderId="7" xfId="0" applyBorder="1" applyAlignment="1"/>
    <xf numFmtId="38" fontId="0" fillId="0" borderId="1" xfId="0" applyNumberFormat="1" applyBorder="1">
      <alignment vertical="center"/>
    </xf>
    <xf numFmtId="0" fontId="0" fillId="0" borderId="0" xfId="0" applyAlignment="1">
      <alignment horizontal="center" vertical="center"/>
    </xf>
    <xf numFmtId="0" fontId="0" fillId="0" borderId="0" xfId="0" applyAlignment="1">
      <alignment vertical="top" wrapText="1"/>
    </xf>
    <xf numFmtId="188" fontId="0" fillId="0" borderId="0" xfId="0" applyNumberFormat="1" applyAlignment="1">
      <alignment vertical="top" wrapText="1"/>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176" fontId="3" fillId="0" borderId="14" xfId="0" applyNumberFormat="1" applyFont="1" applyBorder="1">
      <alignment vertical="center"/>
    </xf>
    <xf numFmtId="0" fontId="3" fillId="0" borderId="17" xfId="0" applyFont="1" applyBorder="1">
      <alignment vertical="center"/>
    </xf>
    <xf numFmtId="9" fontId="3" fillId="0" borderId="14" xfId="1" applyFont="1" applyBorder="1">
      <alignment vertical="center"/>
    </xf>
    <xf numFmtId="176" fontId="3" fillId="0" borderId="15" xfId="0" applyNumberFormat="1" applyFont="1" applyBorder="1">
      <alignment vertical="center"/>
    </xf>
    <xf numFmtId="38" fontId="3" fillId="0" borderId="14" xfId="3" applyFont="1" applyBorder="1">
      <alignment vertical="center"/>
    </xf>
    <xf numFmtId="10" fontId="3" fillId="0" borderId="14" xfId="0" applyNumberFormat="1" applyFont="1" applyBorder="1">
      <alignment vertical="center"/>
    </xf>
    <xf numFmtId="38" fontId="3" fillId="0" borderId="14" xfId="0" applyNumberFormat="1" applyFont="1" applyBorder="1">
      <alignment vertical="center"/>
    </xf>
    <xf numFmtId="38" fontId="3" fillId="0" borderId="15" xfId="3" applyFont="1" applyBorder="1">
      <alignment vertical="center"/>
    </xf>
    <xf numFmtId="38" fontId="3" fillId="0" borderId="13" xfId="0" applyNumberFormat="1" applyFont="1" applyBorder="1">
      <alignment vertical="center"/>
    </xf>
    <xf numFmtId="38" fontId="3" fillId="0" borderId="18" xfId="0" applyNumberFormat="1" applyFont="1" applyBorder="1">
      <alignment vertical="center"/>
    </xf>
    <xf numFmtId="0" fontId="3" fillId="0" borderId="19" xfId="0" applyFont="1" applyBorder="1">
      <alignment vertical="center"/>
    </xf>
    <xf numFmtId="38" fontId="3" fillId="0" borderId="19" xfId="3" applyFont="1" applyBorder="1">
      <alignment vertical="center"/>
    </xf>
    <xf numFmtId="0" fontId="3" fillId="3" borderId="20" xfId="0" applyFont="1" applyFill="1" applyBorder="1" applyAlignment="1">
      <alignment horizontal="center" vertical="center" shrinkToFit="1"/>
    </xf>
    <xf numFmtId="0" fontId="3" fillId="3" borderId="21" xfId="0" applyFont="1" applyFill="1" applyBorder="1" applyAlignment="1">
      <alignment horizontal="center" vertical="center"/>
    </xf>
    <xf numFmtId="176" fontId="3" fillId="3" borderId="22" xfId="0" applyNumberFormat="1" applyFont="1" applyFill="1" applyBorder="1">
      <alignment vertical="center"/>
    </xf>
    <xf numFmtId="9" fontId="3" fillId="3" borderId="22" xfId="1" applyFont="1" applyFill="1" applyBorder="1">
      <alignment vertical="center"/>
    </xf>
    <xf numFmtId="176" fontId="3" fillId="3" borderId="23" xfId="0" applyNumberFormat="1" applyFont="1" applyFill="1" applyBorder="1">
      <alignment vertical="center"/>
    </xf>
    <xf numFmtId="0" fontId="3" fillId="3" borderId="24" xfId="0" applyFont="1" applyFill="1" applyBorder="1">
      <alignment vertical="center"/>
    </xf>
    <xf numFmtId="38" fontId="3" fillId="3" borderId="22" xfId="3" applyFont="1" applyFill="1" applyBorder="1">
      <alignment vertical="center"/>
    </xf>
    <xf numFmtId="10" fontId="3" fillId="3" borderId="22" xfId="1" applyNumberFormat="1" applyFont="1" applyFill="1" applyBorder="1">
      <alignment vertical="center"/>
    </xf>
    <xf numFmtId="38" fontId="3" fillId="3" borderId="23" xfId="3" applyFont="1" applyFill="1" applyBorder="1">
      <alignment vertical="center"/>
    </xf>
    <xf numFmtId="38" fontId="3" fillId="3" borderId="24" xfId="3" applyFont="1" applyFill="1" applyBorder="1">
      <alignment vertical="center"/>
    </xf>
    <xf numFmtId="38" fontId="3" fillId="3" borderId="25" xfId="0" applyNumberFormat="1" applyFont="1" applyFill="1" applyBorder="1">
      <alignment vertical="center"/>
    </xf>
    <xf numFmtId="38" fontId="3" fillId="3" borderId="26" xfId="3" applyFont="1" applyFill="1" applyBorder="1">
      <alignment vertical="center"/>
    </xf>
    <xf numFmtId="0" fontId="3" fillId="2" borderId="27"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176" fontId="3" fillId="2" borderId="29" xfId="0" applyNumberFormat="1" applyFont="1" applyFill="1" applyBorder="1">
      <alignment vertical="center"/>
    </xf>
    <xf numFmtId="9" fontId="3" fillId="2" borderId="29" xfId="1" applyFont="1" applyFill="1" applyBorder="1">
      <alignment vertical="center"/>
    </xf>
    <xf numFmtId="176" fontId="3" fillId="2" borderId="30" xfId="0" applyNumberFormat="1" applyFont="1" applyFill="1" applyBorder="1">
      <alignment vertical="center"/>
    </xf>
    <xf numFmtId="0" fontId="3" fillId="2" borderId="31" xfId="0" applyFont="1" applyFill="1" applyBorder="1">
      <alignment vertical="center"/>
    </xf>
    <xf numFmtId="38" fontId="3" fillId="2" borderId="29" xfId="3" applyFont="1" applyFill="1" applyBorder="1">
      <alignment vertical="center"/>
    </xf>
    <xf numFmtId="10" fontId="3" fillId="2" borderId="29" xfId="1" applyNumberFormat="1" applyFont="1" applyFill="1" applyBorder="1">
      <alignment vertical="center"/>
    </xf>
    <xf numFmtId="38" fontId="3" fillId="2" borderId="22" xfId="3" applyFont="1" applyFill="1" applyBorder="1">
      <alignment vertical="center"/>
    </xf>
    <xf numFmtId="38" fontId="3" fillId="2" borderId="23" xfId="3" applyFont="1" applyFill="1" applyBorder="1">
      <alignment vertical="center"/>
    </xf>
    <xf numFmtId="38" fontId="3" fillId="2" borderId="31" xfId="3" applyFont="1" applyFill="1" applyBorder="1">
      <alignment vertical="center"/>
    </xf>
    <xf numFmtId="10" fontId="3" fillId="2" borderId="22" xfId="1" applyNumberFormat="1" applyFont="1" applyFill="1" applyBorder="1">
      <alignment vertical="center"/>
    </xf>
    <xf numFmtId="38" fontId="3" fillId="2" borderId="25" xfId="0" applyNumberFormat="1" applyFont="1" applyFill="1" applyBorder="1">
      <alignment vertical="center"/>
    </xf>
    <xf numFmtId="38" fontId="3" fillId="2" borderId="26" xfId="3" applyFont="1" applyFill="1" applyBorder="1">
      <alignment vertical="center"/>
    </xf>
    <xf numFmtId="38" fontId="0" fillId="0" borderId="35" xfId="0" applyNumberFormat="1" applyBorder="1">
      <alignment vertical="center"/>
    </xf>
    <xf numFmtId="0" fontId="3" fillId="4" borderId="3" xfId="0" applyFont="1" applyFill="1" applyBorder="1">
      <alignment vertical="center"/>
    </xf>
    <xf numFmtId="0" fontId="0" fillId="4" borderId="14" xfId="0" applyFill="1" applyBorder="1" applyAlignment="1">
      <alignment horizontal="center" vertical="center"/>
    </xf>
    <xf numFmtId="0" fontId="0" fillId="3" borderId="14" xfId="0" applyFill="1" applyBorder="1" applyAlignment="1">
      <alignment horizontal="center" vertical="center"/>
    </xf>
    <xf numFmtId="0" fontId="3" fillId="3" borderId="3" xfId="0" applyFont="1" applyFill="1" applyBorder="1" applyAlignment="1">
      <alignment horizontal="center" vertical="center"/>
    </xf>
    <xf numFmtId="38" fontId="0" fillId="0" borderId="2" xfId="0" applyNumberFormat="1" applyBorder="1">
      <alignment vertical="center"/>
    </xf>
    <xf numFmtId="0" fontId="0" fillId="0" borderId="2" xfId="0" applyBorder="1">
      <alignment vertical="center"/>
    </xf>
    <xf numFmtId="0" fontId="0" fillId="0" borderId="0" xfId="0" applyAlignment="1">
      <alignment horizontal="left" vertical="center"/>
    </xf>
    <xf numFmtId="38" fontId="0" fillId="0" borderId="0" xfId="0" applyNumberFormat="1">
      <alignment vertical="center"/>
    </xf>
    <xf numFmtId="0" fontId="3" fillId="10" borderId="28" xfId="0" applyFont="1" applyFill="1" applyBorder="1" applyAlignment="1">
      <alignment horizontal="center" vertical="center"/>
    </xf>
    <xf numFmtId="176" fontId="3" fillId="10" borderId="29" xfId="0" applyNumberFormat="1" applyFont="1" applyFill="1" applyBorder="1">
      <alignment vertical="center"/>
    </xf>
    <xf numFmtId="38" fontId="3" fillId="10" borderId="29" xfId="3" applyFont="1" applyFill="1" applyBorder="1">
      <alignment vertical="center"/>
    </xf>
    <xf numFmtId="10" fontId="3" fillId="10" borderId="22" xfId="1" applyNumberFormat="1" applyFont="1" applyFill="1" applyBorder="1">
      <alignment vertical="center"/>
    </xf>
    <xf numFmtId="38" fontId="3" fillId="10" borderId="25" xfId="0" applyNumberFormat="1" applyFont="1" applyFill="1" applyBorder="1">
      <alignment vertical="center"/>
    </xf>
    <xf numFmtId="0" fontId="0" fillId="0" borderId="0" xfId="0" applyAlignment="1">
      <alignment horizontal="left" vertical="top" wrapText="1"/>
    </xf>
    <xf numFmtId="9" fontId="3" fillId="0" borderId="2" xfId="1" applyFont="1" applyBorder="1">
      <alignment vertical="center"/>
    </xf>
    <xf numFmtId="0" fontId="9" fillId="0" borderId="0" xfId="0" applyFont="1">
      <alignment vertical="center"/>
    </xf>
    <xf numFmtId="0" fontId="10" fillId="0" borderId="0" xfId="0" applyFont="1">
      <alignment vertical="center"/>
    </xf>
    <xf numFmtId="179" fontId="0" fillId="0" borderId="37" xfId="0" applyNumberFormat="1" applyBorder="1" applyAlignment="1">
      <alignment horizontal="right" vertical="center"/>
    </xf>
    <xf numFmtId="179" fontId="0" fillId="0" borderId="38" xfId="0" applyNumberFormat="1" applyBorder="1" applyAlignment="1">
      <alignment horizontal="right" vertical="center"/>
    </xf>
    <xf numFmtId="179" fontId="0" fillId="0" borderId="13" xfId="0" applyNumberFormat="1" applyBorder="1" applyAlignment="1">
      <alignment horizontal="right" vertical="center"/>
    </xf>
    <xf numFmtId="195" fontId="3" fillId="0" borderId="0" xfId="0" applyNumberFormat="1" applyFont="1">
      <alignment vertical="center"/>
    </xf>
    <xf numFmtId="0" fontId="11" fillId="0" borderId="45" xfId="5" applyFont="1" applyBorder="1" applyAlignment="1">
      <alignment horizontal="right" vertical="top" wrapText="1"/>
    </xf>
    <xf numFmtId="0" fontId="11" fillId="0" borderId="46" xfId="5" applyFont="1" applyBorder="1" applyAlignment="1">
      <alignment horizontal="center" vertical="top" wrapText="1"/>
    </xf>
    <xf numFmtId="0" fontId="11" fillId="0" borderId="46" xfId="5" applyFont="1" applyBorder="1" applyAlignment="1">
      <alignment horizontal="right" vertical="top" wrapText="1"/>
    </xf>
    <xf numFmtId="0" fontId="5" fillId="0" borderId="0" xfId="7">
      <alignment vertical="center"/>
    </xf>
    <xf numFmtId="0" fontId="11" fillId="0" borderId="47" xfId="5" applyFont="1" applyBorder="1" applyAlignment="1">
      <alignment horizontal="right" vertical="top" wrapText="1"/>
    </xf>
    <xf numFmtId="0" fontId="12" fillId="0" borderId="47" xfId="5" applyFont="1" applyBorder="1" applyAlignment="1">
      <alignment horizontal="right" vertical="top" wrapText="1"/>
    </xf>
    <xf numFmtId="0" fontId="11" fillId="0" borderId="48" xfId="5" applyFont="1" applyBorder="1" applyAlignment="1">
      <alignment horizontal="center" vertical="top" wrapText="1"/>
    </xf>
    <xf numFmtId="0" fontId="12" fillId="0" borderId="45" xfId="5" applyFont="1" applyBorder="1" applyAlignment="1">
      <alignment horizontal="right" vertical="top" wrapText="1"/>
    </xf>
    <xf numFmtId="0" fontId="12" fillId="0" borderId="46" xfId="5" applyFont="1" applyBorder="1" applyAlignment="1">
      <alignment horizontal="right" vertical="top" wrapText="1"/>
    </xf>
    <xf numFmtId="0" fontId="11" fillId="0" borderId="12" xfId="5" applyFont="1" applyBorder="1" applyAlignment="1">
      <alignment horizontal="center" vertical="top" wrapText="1"/>
    </xf>
    <xf numFmtId="0" fontId="11" fillId="0" borderId="48" xfId="5" applyFont="1" applyBorder="1" applyAlignment="1">
      <alignment horizontal="right" vertical="top" wrapText="1"/>
    </xf>
    <xf numFmtId="0" fontId="12" fillId="0" borderId="42" xfId="5" applyFont="1" applyBorder="1" applyAlignment="1">
      <alignment horizontal="right" vertical="top" wrapText="1"/>
    </xf>
    <xf numFmtId="0" fontId="11" fillId="0" borderId="12" xfId="5" applyFont="1" applyBorder="1" applyAlignment="1">
      <alignment horizontal="right" vertical="top" wrapText="1"/>
    </xf>
    <xf numFmtId="0" fontId="11" fillId="0" borderId="12" xfId="5" applyFont="1" applyBorder="1" applyAlignment="1">
      <alignment horizontal="justify" vertical="top" wrapText="1"/>
    </xf>
    <xf numFmtId="0" fontId="12" fillId="0" borderId="12" xfId="5" applyFont="1" applyBorder="1" applyAlignment="1">
      <alignment horizontal="right" vertical="top" wrapText="1"/>
    </xf>
    <xf numFmtId="0" fontId="11" fillId="0" borderId="17" xfId="5" applyFont="1" applyBorder="1" applyAlignment="1">
      <alignment horizontal="right" vertical="top" wrapText="1"/>
    </xf>
    <xf numFmtId="0" fontId="12" fillId="0" borderId="49" xfId="5" applyFont="1" applyBorder="1" applyAlignment="1">
      <alignment horizontal="right" vertical="top" wrapText="1"/>
    </xf>
    <xf numFmtId="0" fontId="12" fillId="0" borderId="0" xfId="5" applyFont="1" applyAlignment="1">
      <alignment horizontal="right" vertical="top" wrapText="1"/>
    </xf>
    <xf numFmtId="0" fontId="12" fillId="0" borderId="0" xfId="5" applyFont="1" applyAlignment="1">
      <alignment horizontal="center" vertical="top" wrapText="1"/>
    </xf>
    <xf numFmtId="0" fontId="11" fillId="0" borderId="0" xfId="5" applyFont="1" applyAlignment="1">
      <alignment horizontal="right" vertical="top" wrapText="1"/>
    </xf>
    <xf numFmtId="186" fontId="11" fillId="0" borderId="46" xfId="5" applyNumberFormat="1" applyFont="1" applyBorder="1" applyAlignment="1">
      <alignment horizontal="center" vertical="top" wrapText="1"/>
    </xf>
    <xf numFmtId="186" fontId="12" fillId="0" borderId="42" xfId="5" applyNumberFormat="1" applyFont="1" applyBorder="1" applyAlignment="1">
      <alignment horizontal="right" vertical="top" wrapText="1"/>
    </xf>
    <xf numFmtId="0" fontId="11" fillId="0" borderId="50" xfId="5" applyFont="1" applyBorder="1" applyAlignment="1">
      <alignment horizontal="right" vertical="top" wrapText="1"/>
    </xf>
    <xf numFmtId="0" fontId="12" fillId="0" borderId="42" xfId="5" applyFont="1" applyBorder="1" applyAlignment="1">
      <alignment horizontal="center" vertical="top" wrapText="1"/>
    </xf>
    <xf numFmtId="186" fontId="11" fillId="0" borderId="0" xfId="5" applyNumberFormat="1" applyFont="1" applyAlignment="1">
      <alignment horizontal="right" vertical="top" wrapText="1"/>
    </xf>
    <xf numFmtId="0" fontId="1" fillId="0" borderId="0" xfId="5"/>
    <xf numFmtId="186" fontId="1" fillId="0" borderId="0" xfId="5" applyNumberFormat="1"/>
    <xf numFmtId="0" fontId="1" fillId="0" borderId="51" xfId="5" applyBorder="1"/>
    <xf numFmtId="0" fontId="1" fillId="0" borderId="12" xfId="5" applyBorder="1"/>
    <xf numFmtId="0" fontId="12" fillId="11" borderId="42" xfId="5" applyFont="1" applyFill="1" applyBorder="1" applyAlignment="1">
      <alignment horizontal="right" vertical="top" wrapText="1"/>
    </xf>
    <xf numFmtId="0" fontId="12" fillId="11" borderId="47" xfId="5" applyFont="1" applyFill="1" applyBorder="1" applyAlignment="1">
      <alignment horizontal="right" vertical="top" wrapText="1"/>
    </xf>
    <xf numFmtId="0" fontId="4" fillId="0" borderId="59" xfId="0" applyFont="1" applyBorder="1">
      <alignment vertical="center"/>
    </xf>
    <xf numFmtId="0" fontId="39" fillId="12" borderId="0" xfId="0" applyFont="1" applyFill="1">
      <alignment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lignment vertical="center"/>
    </xf>
    <xf numFmtId="176" fontId="3" fillId="0" borderId="63" xfId="3" applyNumberFormat="1" applyFont="1" applyBorder="1">
      <alignment vertical="center"/>
    </xf>
    <xf numFmtId="178" fontId="3" fillId="0" borderId="63" xfId="3" applyNumberFormat="1" applyFont="1" applyBorder="1">
      <alignment vertical="center"/>
    </xf>
    <xf numFmtId="0" fontId="3" fillId="0" borderId="64" xfId="0" applyFont="1" applyBorder="1">
      <alignment vertical="center"/>
    </xf>
    <xf numFmtId="178" fontId="3" fillId="0" borderId="63" xfId="0" applyNumberFormat="1" applyFont="1" applyBorder="1" applyAlignment="1">
      <alignment horizontal="right" vertical="center"/>
    </xf>
    <xf numFmtId="178" fontId="3" fillId="0" borderId="64" xfId="0" applyNumberFormat="1" applyFont="1" applyBorder="1" applyAlignment="1">
      <alignment horizontal="right" vertical="center"/>
    </xf>
    <xf numFmtId="178" fontId="3" fillId="0" borderId="65" xfId="3" applyNumberFormat="1" applyFont="1" applyBorder="1">
      <alignment vertical="center"/>
    </xf>
    <xf numFmtId="13" fontId="3" fillId="0" borderId="63" xfId="3" applyNumberFormat="1" applyFont="1" applyBorder="1">
      <alignment vertical="center"/>
    </xf>
    <xf numFmtId="9" fontId="3" fillId="0" borderId="63" xfId="3" applyNumberFormat="1" applyFont="1" applyBorder="1">
      <alignment vertical="center"/>
    </xf>
    <xf numFmtId="0" fontId="3" fillId="0" borderId="66" xfId="0" applyFont="1" applyBorder="1">
      <alignment vertical="center"/>
    </xf>
    <xf numFmtId="178" fontId="3" fillId="0" borderId="66" xfId="3" applyNumberFormat="1" applyFont="1" applyBorder="1">
      <alignment vertical="center"/>
    </xf>
    <xf numFmtId="0" fontId="3" fillId="0" borderId="67" xfId="0" applyFont="1" applyBorder="1">
      <alignment vertical="center"/>
    </xf>
    <xf numFmtId="178" fontId="3" fillId="0" borderId="66" xfId="0" applyNumberFormat="1" applyFont="1" applyBorder="1" applyAlignment="1">
      <alignment horizontal="right" vertical="center"/>
    </xf>
    <xf numFmtId="178" fontId="3" fillId="0" borderId="67" xfId="0" applyNumberFormat="1" applyFont="1" applyBorder="1" applyAlignment="1">
      <alignment horizontal="right" vertical="center"/>
    </xf>
    <xf numFmtId="178" fontId="3" fillId="0" borderId="68" xfId="3" applyNumberFormat="1" applyFont="1" applyBorder="1">
      <alignment vertical="center"/>
    </xf>
    <xf numFmtId="13" fontId="3" fillId="0" borderId="66" xfId="3" applyNumberFormat="1" applyFont="1" applyBorder="1">
      <alignment vertical="center"/>
    </xf>
    <xf numFmtId="9" fontId="3" fillId="0" borderId="66" xfId="3" applyNumberFormat="1" applyFont="1" applyBorder="1">
      <alignment vertical="center"/>
    </xf>
    <xf numFmtId="10" fontId="3" fillId="0" borderId="0" xfId="0" applyNumberFormat="1" applyFont="1">
      <alignment vertical="center"/>
    </xf>
    <xf numFmtId="180" fontId="3" fillId="0" borderId="66" xfId="3" applyNumberFormat="1" applyFont="1" applyBorder="1">
      <alignment vertical="center"/>
    </xf>
    <xf numFmtId="176" fontId="3" fillId="0" borderId="66" xfId="3" applyNumberFormat="1" applyFont="1" applyBorder="1">
      <alignment vertical="center"/>
    </xf>
    <xf numFmtId="177" fontId="40" fillId="0" borderId="66" xfId="0" applyNumberFormat="1" applyFont="1" applyBorder="1">
      <alignment vertical="center"/>
    </xf>
    <xf numFmtId="0" fontId="3" fillId="0" borderId="69" xfId="0" applyFont="1" applyBorder="1">
      <alignment vertical="center"/>
    </xf>
    <xf numFmtId="178" fontId="3" fillId="0" borderId="69" xfId="3" applyNumberFormat="1" applyFont="1" applyBorder="1">
      <alignment vertical="center"/>
    </xf>
    <xf numFmtId="9" fontId="3" fillId="0" borderId="69" xfId="0" applyNumberFormat="1" applyFont="1" applyBorder="1">
      <alignment vertical="center"/>
    </xf>
    <xf numFmtId="0" fontId="3" fillId="0" borderId="70" xfId="0" applyFont="1" applyBorder="1">
      <alignment vertical="center"/>
    </xf>
    <xf numFmtId="178" fontId="3" fillId="0" borderId="69" xfId="0" applyNumberFormat="1" applyFont="1" applyBorder="1" applyAlignment="1">
      <alignment horizontal="right" vertical="center"/>
    </xf>
    <xf numFmtId="178" fontId="3" fillId="0" borderId="70" xfId="0" applyNumberFormat="1" applyFont="1" applyBorder="1" applyAlignment="1">
      <alignment horizontal="right" vertical="center"/>
    </xf>
    <xf numFmtId="178" fontId="3" fillId="0" borderId="71" xfId="3" applyNumberFormat="1" applyFont="1" applyBorder="1">
      <alignment vertical="center"/>
    </xf>
    <xf numFmtId="13" fontId="3" fillId="0" borderId="69" xfId="3" applyNumberFormat="1" applyFont="1" applyBorder="1">
      <alignment vertical="center"/>
    </xf>
    <xf numFmtId="9" fontId="3" fillId="0" borderId="69" xfId="3" applyNumberFormat="1" applyFont="1" applyBorder="1">
      <alignment vertical="center"/>
    </xf>
    <xf numFmtId="0" fontId="3" fillId="2" borderId="5" xfId="0" applyFont="1" applyFill="1" applyBorder="1">
      <alignment vertical="center"/>
    </xf>
    <xf numFmtId="178" fontId="3" fillId="13" borderId="1" xfId="0" applyNumberFormat="1" applyFont="1" applyFill="1" applyBorder="1" applyAlignment="1">
      <alignment horizontal="right" vertical="center"/>
    </xf>
    <xf numFmtId="178" fontId="3" fillId="13" borderId="5" xfId="0" applyNumberFormat="1" applyFont="1" applyFill="1" applyBorder="1" applyAlignment="1">
      <alignment horizontal="right" vertical="center"/>
    </xf>
    <xf numFmtId="178" fontId="3" fillId="2" borderId="72" xfId="3" applyNumberFormat="1" applyFont="1" applyFill="1" applyBorder="1">
      <alignment vertical="center"/>
    </xf>
    <xf numFmtId="13" fontId="3" fillId="2" borderId="1" xfId="3" applyNumberFormat="1" applyFont="1" applyFill="1" applyBorder="1">
      <alignment vertical="center"/>
    </xf>
    <xf numFmtId="9" fontId="3" fillId="2" borderId="1" xfId="3" applyNumberFormat="1" applyFont="1" applyFill="1" applyBorder="1">
      <alignment vertical="center"/>
    </xf>
    <xf numFmtId="0" fontId="3" fillId="0" borderId="73" xfId="0" applyFont="1" applyBorder="1">
      <alignment vertical="center"/>
    </xf>
    <xf numFmtId="176" fontId="3" fillId="0" borderId="73" xfId="3" applyNumberFormat="1" applyFont="1" applyBorder="1">
      <alignment vertical="center"/>
    </xf>
    <xf numFmtId="177" fontId="3" fillId="0" borderId="73" xfId="0" applyNumberFormat="1" applyFont="1" applyBorder="1">
      <alignment vertical="center"/>
    </xf>
    <xf numFmtId="178" fontId="3" fillId="0" borderId="73" xfId="3" applyNumberFormat="1" applyFont="1" applyBorder="1">
      <alignment vertical="center"/>
    </xf>
    <xf numFmtId="0" fontId="3" fillId="0" borderId="74" xfId="0" applyFont="1" applyBorder="1">
      <alignment vertical="center"/>
    </xf>
    <xf numFmtId="178" fontId="3" fillId="0" borderId="73" xfId="0" applyNumberFormat="1" applyFont="1" applyBorder="1" applyAlignment="1">
      <alignment horizontal="right" vertical="center"/>
    </xf>
    <xf numFmtId="178" fontId="3" fillId="0" borderId="74" xfId="0" applyNumberFormat="1" applyFont="1" applyBorder="1" applyAlignment="1">
      <alignment horizontal="right" vertical="center"/>
    </xf>
    <xf numFmtId="178" fontId="3" fillId="0" borderId="75" xfId="3" applyNumberFormat="1" applyFont="1" applyBorder="1">
      <alignment vertical="center"/>
    </xf>
    <xf numFmtId="9" fontId="3" fillId="0" borderId="73" xfId="3" applyNumberFormat="1" applyFont="1" applyBorder="1">
      <alignment vertical="center"/>
    </xf>
    <xf numFmtId="177" fontId="3" fillId="0" borderId="66" xfId="0" applyNumberFormat="1" applyFont="1" applyBorder="1">
      <alignment vertical="center"/>
    </xf>
    <xf numFmtId="9" fontId="3" fillId="0" borderId="73" xfId="1" applyFont="1" applyBorder="1">
      <alignment vertical="center"/>
    </xf>
    <xf numFmtId="184" fontId="3" fillId="0" borderId="73" xfId="3" applyNumberFormat="1" applyFont="1" applyBorder="1">
      <alignment vertical="center"/>
    </xf>
    <xf numFmtId="183" fontId="3" fillId="0" borderId="73" xfId="0" applyNumberFormat="1" applyFont="1" applyBorder="1">
      <alignment vertical="center"/>
    </xf>
    <xf numFmtId="184" fontId="3" fillId="0" borderId="66" xfId="3" applyNumberFormat="1" applyFont="1" applyBorder="1">
      <alignment vertical="center"/>
    </xf>
    <xf numFmtId="183" fontId="3" fillId="0" borderId="66" xfId="0" applyNumberFormat="1" applyFont="1" applyBorder="1">
      <alignment vertical="center"/>
    </xf>
    <xf numFmtId="0" fontId="3" fillId="0" borderId="70" xfId="0" applyFont="1" applyBorder="1" applyAlignment="1">
      <alignment vertical="center" shrinkToFit="1"/>
    </xf>
    <xf numFmtId="178" fontId="3" fillId="0" borderId="1" xfId="0" applyNumberFormat="1" applyFont="1" applyBorder="1" applyAlignment="1">
      <alignment horizontal="right" vertical="center"/>
    </xf>
    <xf numFmtId="178" fontId="3" fillId="0" borderId="5" xfId="0" applyNumberFormat="1" applyFont="1" applyBorder="1" applyAlignment="1">
      <alignment horizontal="right" vertical="center"/>
    </xf>
    <xf numFmtId="178" fontId="3" fillId="0" borderId="2" xfId="0" applyNumberFormat="1" applyFont="1" applyBorder="1">
      <alignment vertical="center"/>
    </xf>
    <xf numFmtId="178" fontId="3" fillId="0" borderId="76" xfId="0" applyNumberFormat="1" applyFont="1" applyBorder="1">
      <alignment vertical="center"/>
    </xf>
    <xf numFmtId="178" fontId="3" fillId="0" borderId="2" xfId="0" applyNumberFormat="1" applyFont="1" applyBorder="1" applyAlignment="1">
      <alignment horizontal="right" vertical="center"/>
    </xf>
    <xf numFmtId="178" fontId="3" fillId="0" borderId="76" xfId="0" applyNumberFormat="1" applyFont="1" applyBorder="1" applyAlignment="1">
      <alignment horizontal="right" vertical="center"/>
    </xf>
    <xf numFmtId="0" fontId="3" fillId="0" borderId="76" xfId="0" applyFont="1" applyBorder="1">
      <alignment vertical="center"/>
    </xf>
    <xf numFmtId="0" fontId="3" fillId="13" borderId="77" xfId="0" applyFont="1" applyFill="1" applyBorder="1">
      <alignment vertical="center"/>
    </xf>
    <xf numFmtId="178" fontId="3" fillId="13" borderId="78" xfId="0" applyNumberFormat="1" applyFont="1" applyFill="1" applyBorder="1">
      <alignment vertical="center"/>
    </xf>
    <xf numFmtId="9" fontId="3" fillId="13" borderId="78" xfId="1" applyFont="1" applyFill="1" applyBorder="1">
      <alignment vertical="center"/>
    </xf>
    <xf numFmtId="178" fontId="3" fillId="13" borderId="35" xfId="0" applyNumberFormat="1" applyFont="1" applyFill="1" applyBorder="1">
      <alignment vertical="center"/>
    </xf>
    <xf numFmtId="178" fontId="3" fillId="13" borderId="35" xfId="0" applyNumberFormat="1" applyFont="1" applyFill="1" applyBorder="1" applyAlignment="1">
      <alignment horizontal="right" vertical="center"/>
    </xf>
    <xf numFmtId="178" fontId="3" fillId="13" borderId="79" xfId="0" applyNumberFormat="1" applyFont="1" applyFill="1" applyBorder="1" applyAlignment="1">
      <alignment horizontal="right" vertical="center"/>
    </xf>
    <xf numFmtId="178" fontId="3" fillId="13" borderId="80" xfId="0" applyNumberFormat="1" applyFont="1" applyFill="1" applyBorder="1">
      <alignment vertical="center"/>
    </xf>
    <xf numFmtId="178" fontId="3" fillId="13" borderId="81" xfId="0" applyNumberFormat="1" applyFont="1" applyFill="1" applyBorder="1">
      <alignment vertical="center"/>
    </xf>
    <xf numFmtId="0" fontId="3" fillId="13" borderId="78" xfId="0" applyFont="1" applyFill="1" applyBorder="1">
      <alignment vertical="center"/>
    </xf>
    <xf numFmtId="0" fontId="3" fillId="13" borderId="7" xfId="0" applyFont="1" applyFill="1" applyBorder="1">
      <alignment vertical="center"/>
    </xf>
    <xf numFmtId="0" fontId="3" fillId="14" borderId="5" xfId="0" applyFont="1" applyFill="1" applyBorder="1">
      <alignment vertical="center"/>
    </xf>
    <xf numFmtId="178" fontId="3" fillId="14" borderId="82" xfId="0" applyNumberFormat="1" applyFont="1" applyFill="1" applyBorder="1">
      <alignment vertical="center"/>
    </xf>
    <xf numFmtId="9" fontId="3" fillId="14" borderId="82" xfId="1" applyFont="1" applyFill="1" applyBorder="1">
      <alignment vertical="center"/>
    </xf>
    <xf numFmtId="178" fontId="3" fillId="14" borderId="1" xfId="0" applyNumberFormat="1" applyFont="1" applyFill="1" applyBorder="1">
      <alignment vertical="center"/>
    </xf>
    <xf numFmtId="178" fontId="3" fillId="13" borderId="17" xfId="0" applyNumberFormat="1" applyFont="1" applyFill="1" applyBorder="1">
      <alignment vertical="center"/>
    </xf>
    <xf numFmtId="178" fontId="3" fillId="14" borderId="5" xfId="0" applyNumberFormat="1" applyFont="1" applyFill="1" applyBorder="1">
      <alignment vertical="center"/>
    </xf>
    <xf numFmtId="178" fontId="3" fillId="14" borderId="83" xfId="0" applyNumberFormat="1" applyFont="1" applyFill="1" applyBorder="1">
      <alignment vertical="center"/>
    </xf>
    <xf numFmtId="0" fontId="3" fillId="13" borderId="59" xfId="0" applyFont="1" applyFill="1" applyBorder="1">
      <alignment vertical="center"/>
    </xf>
    <xf numFmtId="178" fontId="3" fillId="13" borderId="16" xfId="0" applyNumberFormat="1" applyFont="1" applyFill="1" applyBorder="1">
      <alignment vertical="center"/>
    </xf>
    <xf numFmtId="0" fontId="3" fillId="0" borderId="84" xfId="0" applyFont="1" applyBorder="1">
      <alignment vertical="center"/>
    </xf>
    <xf numFmtId="184" fontId="3" fillId="0" borderId="84" xfId="3" applyNumberFormat="1" applyFont="1" applyBorder="1">
      <alignment vertical="center"/>
    </xf>
    <xf numFmtId="178" fontId="3" fillId="0" borderId="84" xfId="3" applyNumberFormat="1" applyFont="1" applyBorder="1">
      <alignment vertical="center"/>
    </xf>
    <xf numFmtId="0" fontId="3" fillId="0" borderId="85" xfId="0" applyFont="1" applyBorder="1">
      <alignment vertical="center"/>
    </xf>
    <xf numFmtId="178" fontId="3" fillId="0" borderId="84" xfId="0" applyNumberFormat="1" applyFont="1" applyBorder="1" applyAlignment="1">
      <alignment horizontal="right" vertical="center"/>
    </xf>
    <xf numFmtId="178" fontId="3" fillId="0" borderId="86" xfId="3" applyNumberFormat="1" applyFont="1" applyBorder="1">
      <alignment vertical="center"/>
    </xf>
    <xf numFmtId="9" fontId="3" fillId="0" borderId="84" xfId="3" applyNumberFormat="1" applyFont="1" applyBorder="1">
      <alignment vertical="center"/>
    </xf>
    <xf numFmtId="177" fontId="3" fillId="0" borderId="84" xfId="0" applyNumberFormat="1" applyFont="1" applyBorder="1">
      <alignment vertical="center"/>
    </xf>
    <xf numFmtId="0" fontId="3" fillId="0" borderId="66" xfId="0" applyFont="1" applyBorder="1" applyAlignment="1">
      <alignment vertical="center" shrinkToFit="1"/>
    </xf>
    <xf numFmtId="0" fontId="3" fillId="13" borderId="83" xfId="0" applyFont="1" applyFill="1" applyBorder="1">
      <alignment vertical="center"/>
    </xf>
    <xf numFmtId="38" fontId="3" fillId="13" borderId="1" xfId="3" applyFont="1" applyFill="1" applyBorder="1">
      <alignment vertical="center"/>
    </xf>
    <xf numFmtId="0" fontId="3" fillId="13" borderId="1" xfId="0" applyFont="1" applyFill="1" applyBorder="1">
      <alignment vertical="center"/>
    </xf>
    <xf numFmtId="178" fontId="3" fillId="13" borderId="1" xfId="3" applyNumberFormat="1" applyFont="1" applyFill="1" applyBorder="1">
      <alignment vertical="center"/>
    </xf>
    <xf numFmtId="0" fontId="3" fillId="13" borderId="5" xfId="0" applyFont="1" applyFill="1" applyBorder="1">
      <alignment vertical="center"/>
    </xf>
    <xf numFmtId="176" fontId="3" fillId="13" borderId="87" xfId="3" applyNumberFormat="1" applyFont="1" applyFill="1" applyBorder="1">
      <alignment vertical="center"/>
    </xf>
    <xf numFmtId="177" fontId="3" fillId="13" borderId="5" xfId="3" applyNumberFormat="1" applyFont="1" applyFill="1" applyBorder="1">
      <alignment vertical="center"/>
    </xf>
    <xf numFmtId="9" fontId="3" fillId="13" borderId="1" xfId="3" applyNumberFormat="1" applyFont="1" applyFill="1" applyBorder="1">
      <alignment vertical="center"/>
    </xf>
    <xf numFmtId="0" fontId="3" fillId="0" borderId="58" xfId="0" applyFont="1" applyBorder="1">
      <alignment vertical="center"/>
    </xf>
    <xf numFmtId="38" fontId="3" fillId="0" borderId="4" xfId="3" applyFont="1" applyBorder="1">
      <alignment vertical="center"/>
    </xf>
    <xf numFmtId="0" fontId="3" fillId="0" borderId="59" xfId="0" applyFont="1" applyBorder="1">
      <alignment vertical="center"/>
    </xf>
    <xf numFmtId="178" fontId="3" fillId="0" borderId="4" xfId="0" applyNumberFormat="1" applyFont="1" applyBorder="1" applyAlignment="1">
      <alignment horizontal="right" vertical="center"/>
    </xf>
    <xf numFmtId="178" fontId="3" fillId="0" borderId="59" xfId="0" applyNumberFormat="1" applyFont="1" applyBorder="1" applyAlignment="1">
      <alignment horizontal="right" vertical="center"/>
    </xf>
    <xf numFmtId="176" fontId="3" fillId="0" borderId="88" xfId="3" applyNumberFormat="1" applyFont="1" applyBorder="1">
      <alignment vertical="center"/>
    </xf>
    <xf numFmtId="177" fontId="3" fillId="0" borderId="4" xfId="3" applyNumberFormat="1" applyFont="1" applyBorder="1">
      <alignment vertical="center"/>
    </xf>
    <xf numFmtId="9" fontId="3" fillId="0" borderId="58" xfId="3" applyNumberFormat="1" applyFont="1" applyBorder="1">
      <alignment vertical="center"/>
    </xf>
    <xf numFmtId="38" fontId="3" fillId="0" borderId="73" xfId="3" applyFont="1" applyBorder="1">
      <alignment vertical="center"/>
    </xf>
    <xf numFmtId="176" fontId="3" fillId="0" borderId="75" xfId="3" applyNumberFormat="1" applyFont="1" applyBorder="1">
      <alignment vertical="center"/>
    </xf>
    <xf numFmtId="177" fontId="3" fillId="0" borderId="73" xfId="3" applyNumberFormat="1" applyFont="1" applyBorder="1">
      <alignment vertical="center"/>
    </xf>
    <xf numFmtId="9" fontId="3" fillId="0" borderId="89" xfId="3" applyNumberFormat="1" applyFont="1" applyBorder="1">
      <alignment vertical="center"/>
    </xf>
    <xf numFmtId="0" fontId="3" fillId="0" borderId="7" xfId="0" applyFont="1" applyBorder="1">
      <alignment vertical="center"/>
    </xf>
    <xf numFmtId="9" fontId="3" fillId="0" borderId="66" xfId="3" applyNumberFormat="1" applyFont="1" applyBorder="1" applyAlignment="1">
      <alignment horizontal="center" vertical="center"/>
    </xf>
    <xf numFmtId="196" fontId="3" fillId="0" borderId="66" xfId="0" applyNumberFormat="1" applyFont="1" applyBorder="1">
      <alignment vertical="center"/>
    </xf>
    <xf numFmtId="0" fontId="3" fillId="0" borderId="3" xfId="3" applyNumberFormat="1" applyFont="1" applyBorder="1" applyAlignment="1">
      <alignment horizontal="center" vertical="center"/>
    </xf>
    <xf numFmtId="178" fontId="3" fillId="0" borderId="66" xfId="3" applyNumberFormat="1" applyFont="1" applyBorder="1" applyAlignment="1">
      <alignment horizontal="right" vertical="center"/>
    </xf>
    <xf numFmtId="0" fontId="0" fillId="0" borderId="76" xfId="0" applyBorder="1">
      <alignment vertical="center"/>
    </xf>
    <xf numFmtId="0" fontId="0" fillId="0" borderId="90" xfId="0" applyBorder="1">
      <alignment vertical="center"/>
    </xf>
    <xf numFmtId="0" fontId="3" fillId="0" borderId="0" xfId="0" applyFont="1" applyAlignment="1">
      <alignment horizontal="center" vertical="center"/>
    </xf>
    <xf numFmtId="193" fontId="3" fillId="0" borderId="0" xfId="3" applyNumberFormat="1" applyFont="1">
      <alignment vertical="center"/>
    </xf>
    <xf numFmtId="38" fontId="3" fillId="0" borderId="0" xfId="0" applyNumberFormat="1" applyFont="1">
      <alignment vertical="center"/>
    </xf>
    <xf numFmtId="38" fontId="3" fillId="0" borderId="10" xfId="0" applyNumberFormat="1" applyFont="1" applyBorder="1">
      <alignment vertical="center"/>
    </xf>
    <xf numFmtId="186" fontId="3" fillId="0" borderId="0" xfId="0" applyNumberFormat="1" applyFont="1">
      <alignment vertical="center"/>
    </xf>
    <xf numFmtId="0" fontId="3" fillId="0" borderId="59" xfId="0" applyFont="1" applyBorder="1" applyAlignment="1">
      <alignment horizontal="center" vertical="center"/>
    </xf>
    <xf numFmtId="38" fontId="3" fillId="0" borderId="9" xfId="3" applyFont="1" applyBorder="1">
      <alignment vertical="center"/>
    </xf>
    <xf numFmtId="0" fontId="3" fillId="0" borderId="9" xfId="0" applyFont="1" applyBorder="1">
      <alignment vertical="center"/>
    </xf>
    <xf numFmtId="38" fontId="3" fillId="0" borderId="9" xfId="0" applyNumberFormat="1" applyFont="1" applyBorder="1">
      <alignment vertical="center"/>
    </xf>
    <xf numFmtId="38" fontId="3" fillId="0" borderId="58" xfId="0" applyNumberFormat="1" applyFont="1" applyBorder="1">
      <alignment vertical="center"/>
    </xf>
    <xf numFmtId="176" fontId="0" fillId="0" borderId="0" xfId="0" applyNumberFormat="1">
      <alignment vertical="center"/>
    </xf>
    <xf numFmtId="0" fontId="4" fillId="0" borderId="6" xfId="0" applyFont="1" applyBorder="1">
      <alignment vertical="center"/>
    </xf>
    <xf numFmtId="0" fontId="4" fillId="0" borderId="90" xfId="0" applyFont="1" applyBorder="1">
      <alignment vertical="center"/>
    </xf>
    <xf numFmtId="0" fontId="4" fillId="0" borderId="10" xfId="0" applyFont="1" applyBorder="1">
      <alignment vertical="center"/>
    </xf>
    <xf numFmtId="38" fontId="4" fillId="0" borderId="0" xfId="3" applyFont="1">
      <alignment vertical="center"/>
    </xf>
    <xf numFmtId="38" fontId="4" fillId="0" borderId="10" xfId="3" applyFont="1" applyBorder="1">
      <alignment vertical="center"/>
    </xf>
    <xf numFmtId="38" fontId="6" fillId="0" borderId="0" xfId="3" applyFont="1">
      <alignment vertical="center"/>
    </xf>
    <xf numFmtId="38" fontId="6" fillId="0" borderId="10" xfId="3" applyFont="1" applyBorder="1">
      <alignment vertical="center"/>
    </xf>
    <xf numFmtId="0" fontId="5" fillId="0" borderId="6" xfId="0" applyFont="1" applyBorder="1">
      <alignment vertical="center"/>
    </xf>
    <xf numFmtId="0" fontId="4" fillId="0" borderId="76" xfId="0" applyFont="1" applyBorder="1">
      <alignment vertical="center"/>
    </xf>
    <xf numFmtId="0" fontId="3" fillId="0" borderId="18" xfId="0" applyFont="1" applyBorder="1">
      <alignment vertical="center"/>
    </xf>
    <xf numFmtId="38" fontId="3" fillId="10" borderId="22" xfId="3" applyFont="1" applyFill="1" applyBorder="1">
      <alignment vertical="center"/>
    </xf>
    <xf numFmtId="38" fontId="3" fillId="10" borderId="26" xfId="3" applyFont="1" applyFill="1" applyBorder="1">
      <alignment vertical="center"/>
    </xf>
    <xf numFmtId="0" fontId="3" fillId="15" borderId="28" xfId="0" applyFont="1" applyFill="1" applyBorder="1" applyAlignment="1">
      <alignment horizontal="center" vertical="center"/>
    </xf>
    <xf numFmtId="176" fontId="3" fillId="15" borderId="29" xfId="0" applyNumberFormat="1" applyFont="1" applyFill="1" applyBorder="1">
      <alignment vertical="center"/>
    </xf>
    <xf numFmtId="10" fontId="3" fillId="15" borderId="22" xfId="1" applyNumberFormat="1" applyFont="1" applyFill="1" applyBorder="1">
      <alignment vertical="center"/>
    </xf>
    <xf numFmtId="38" fontId="3" fillId="15" borderId="94" xfId="3" applyFont="1" applyFill="1" applyBorder="1">
      <alignment vertical="center"/>
    </xf>
    <xf numFmtId="38" fontId="3" fillId="15" borderId="25" xfId="0" applyNumberFormat="1" applyFont="1" applyFill="1" applyBorder="1">
      <alignment vertical="center"/>
    </xf>
    <xf numFmtId="38" fontId="3" fillId="15" borderId="29" xfId="3" applyFont="1" applyFill="1" applyBorder="1">
      <alignment vertical="center"/>
    </xf>
    <xf numFmtId="0" fontId="3" fillId="10" borderId="27" xfId="0" applyFont="1" applyFill="1" applyBorder="1" applyAlignment="1">
      <alignment horizontal="center" vertical="center"/>
    </xf>
    <xf numFmtId="176" fontId="3" fillId="10" borderId="0" xfId="0" applyNumberFormat="1" applyFont="1" applyFill="1">
      <alignment vertical="center"/>
    </xf>
    <xf numFmtId="9" fontId="3" fillId="10" borderId="22" xfId="1" applyFont="1" applyFill="1" applyBorder="1">
      <alignment vertical="center"/>
    </xf>
    <xf numFmtId="38" fontId="3" fillId="10" borderId="23" xfId="3" applyFont="1" applyFill="1" applyBorder="1">
      <alignment vertical="center"/>
    </xf>
    <xf numFmtId="1" fontId="3" fillId="10" borderId="31" xfId="0" applyNumberFormat="1" applyFont="1" applyFill="1" applyBorder="1">
      <alignment vertical="center"/>
    </xf>
    <xf numFmtId="0" fontId="3" fillId="15" borderId="27" xfId="0" applyFont="1" applyFill="1" applyBorder="1" applyAlignment="1">
      <alignment horizontal="center" vertical="center" shrinkToFit="1"/>
    </xf>
    <xf numFmtId="9" fontId="3" fillId="15" borderId="29" xfId="1" applyFont="1" applyFill="1" applyBorder="1">
      <alignment vertical="center"/>
    </xf>
    <xf numFmtId="176" fontId="3" fillId="15" borderId="30" xfId="0" applyNumberFormat="1" applyFont="1" applyFill="1" applyBorder="1">
      <alignment vertical="center"/>
    </xf>
    <xf numFmtId="10" fontId="3" fillId="15" borderId="29" xfId="1" applyNumberFormat="1" applyFont="1" applyFill="1" applyBorder="1">
      <alignment vertical="center"/>
    </xf>
    <xf numFmtId="38" fontId="3" fillId="15" borderId="30" xfId="3" applyFont="1" applyFill="1" applyBorder="1">
      <alignment vertical="center"/>
    </xf>
    <xf numFmtId="38" fontId="3" fillId="15" borderId="31" xfId="3" applyFont="1" applyFill="1" applyBorder="1">
      <alignment vertical="center"/>
    </xf>
    <xf numFmtId="0" fontId="41" fillId="12" borderId="0" xfId="0" applyFont="1" applyFill="1">
      <alignment vertical="center"/>
    </xf>
    <xf numFmtId="14" fontId="39" fillId="12" borderId="0" xfId="0" applyNumberFormat="1" applyFont="1" applyFill="1">
      <alignment vertical="center"/>
    </xf>
    <xf numFmtId="0" fontId="42" fillId="13" borderId="186" xfId="0" applyFont="1" applyFill="1" applyBorder="1">
      <alignment vertical="center"/>
    </xf>
    <xf numFmtId="0" fontId="42" fillId="13" borderId="187" xfId="0" applyFont="1" applyFill="1" applyBorder="1">
      <alignment vertical="center"/>
    </xf>
    <xf numFmtId="38" fontId="42" fillId="13" borderId="188" xfId="3" applyFont="1" applyFill="1" applyBorder="1">
      <alignment vertical="center"/>
    </xf>
    <xf numFmtId="38" fontId="42" fillId="13" borderId="189" xfId="3" applyFont="1" applyFill="1" applyBorder="1">
      <alignment vertical="center"/>
    </xf>
    <xf numFmtId="38" fontId="42" fillId="13" borderId="2" xfId="3" applyFont="1" applyFill="1" applyBorder="1">
      <alignment vertical="center"/>
    </xf>
    <xf numFmtId="38" fontId="42" fillId="13" borderId="34" xfId="3" applyFont="1" applyFill="1" applyBorder="1">
      <alignment vertical="center"/>
    </xf>
    <xf numFmtId="38" fontId="42" fillId="13" borderId="3" xfId="3" applyFont="1" applyFill="1" applyBorder="1">
      <alignment vertical="center"/>
    </xf>
    <xf numFmtId="0" fontId="0" fillId="13" borderId="91" xfId="0" applyFill="1" applyBorder="1" applyAlignment="1">
      <alignment horizontal="center" vertical="center"/>
    </xf>
    <xf numFmtId="40" fontId="42" fillId="13" borderId="186" xfId="3" applyNumberFormat="1" applyFont="1" applyFill="1" applyBorder="1">
      <alignment vertical="center"/>
    </xf>
    <xf numFmtId="40" fontId="42" fillId="13" borderId="95" xfId="3" applyNumberFormat="1" applyFont="1" applyFill="1" applyBorder="1">
      <alignment vertical="center"/>
    </xf>
    <xf numFmtId="40" fontId="42" fillId="13" borderId="34" xfId="3" applyNumberFormat="1" applyFont="1" applyFill="1" applyBorder="1">
      <alignment vertical="center"/>
    </xf>
    <xf numFmtId="40" fontId="42" fillId="13" borderId="190" xfId="3" applyNumberFormat="1" applyFont="1" applyFill="1" applyBorder="1">
      <alignment vertical="center"/>
    </xf>
    <xf numFmtId="38" fontId="42" fillId="13" borderId="12" xfId="3" applyFont="1" applyFill="1" applyBorder="1">
      <alignment vertical="center"/>
    </xf>
    <xf numFmtId="38" fontId="42" fillId="13" borderId="96" xfId="3" applyFont="1" applyFill="1" applyBorder="1">
      <alignment vertical="center"/>
    </xf>
    <xf numFmtId="40" fontId="42" fillId="13" borderId="2" xfId="3" applyNumberFormat="1" applyFont="1" applyFill="1" applyBorder="1" applyAlignment="1">
      <alignment horizontal="left" vertical="center"/>
    </xf>
    <xf numFmtId="38" fontId="42" fillId="13" borderId="76" xfId="3" applyFont="1" applyFill="1" applyBorder="1">
      <alignment vertical="center"/>
    </xf>
    <xf numFmtId="38" fontId="42" fillId="13" borderId="59" xfId="3" applyFont="1" applyFill="1" applyBorder="1">
      <alignment vertical="center"/>
    </xf>
    <xf numFmtId="38" fontId="42" fillId="13" borderId="191" xfId="3" applyFont="1" applyFill="1" applyBorder="1">
      <alignment vertical="center"/>
    </xf>
    <xf numFmtId="38" fontId="42" fillId="13" borderId="192" xfId="3" applyFont="1" applyFill="1" applyBorder="1">
      <alignment vertical="center"/>
    </xf>
    <xf numFmtId="0" fontId="43" fillId="0" borderId="0" xfId="0" applyFont="1">
      <alignment vertical="center"/>
    </xf>
    <xf numFmtId="0" fontId="43" fillId="0" borderId="88" xfId="0" applyFont="1" applyBorder="1">
      <alignment vertical="center"/>
    </xf>
    <xf numFmtId="0" fontId="43" fillId="0" borderId="4" xfId="0" applyFont="1" applyBorder="1" applyAlignment="1">
      <alignment vertical="top" wrapText="1"/>
    </xf>
    <xf numFmtId="0" fontId="43" fillId="0" borderId="4" xfId="0" applyFont="1" applyBorder="1">
      <alignment vertical="center"/>
    </xf>
    <xf numFmtId="0" fontId="43" fillId="0" borderId="15" xfId="0" applyFont="1" applyBorder="1">
      <alignment vertical="center"/>
    </xf>
    <xf numFmtId="0" fontId="43" fillId="0" borderId="1" xfId="0" applyFont="1" applyBorder="1">
      <alignment vertical="center"/>
    </xf>
    <xf numFmtId="0" fontId="43" fillId="0" borderId="72" xfId="0" applyFont="1" applyBorder="1" applyAlignment="1">
      <alignment vertical="top" wrapText="1"/>
    </xf>
    <xf numFmtId="0" fontId="43" fillId="0" borderId="1" xfId="0" applyFont="1" applyBorder="1" applyAlignment="1">
      <alignment vertical="top" wrapText="1"/>
    </xf>
    <xf numFmtId="0" fontId="43" fillId="0" borderId="1" xfId="0" applyFont="1" applyBorder="1" applyAlignment="1">
      <alignment vertical="center" wrapText="1"/>
    </xf>
    <xf numFmtId="0" fontId="43" fillId="0" borderId="38" xfId="0" applyFont="1" applyBorder="1">
      <alignment vertical="center"/>
    </xf>
    <xf numFmtId="38" fontId="44" fillId="0" borderId="4" xfId="3" applyFont="1" applyBorder="1">
      <alignment vertical="center"/>
    </xf>
    <xf numFmtId="38" fontId="44" fillId="0" borderId="59" xfId="3" applyFont="1" applyBorder="1">
      <alignment vertical="center"/>
    </xf>
    <xf numFmtId="0" fontId="45" fillId="0" borderId="4" xfId="0" applyFont="1" applyBorder="1">
      <alignment vertical="center"/>
    </xf>
    <xf numFmtId="0" fontId="46" fillId="0" borderId="4" xfId="0" applyFont="1" applyBorder="1">
      <alignment vertical="center"/>
    </xf>
    <xf numFmtId="40" fontId="44" fillId="0" borderId="4" xfId="3" applyNumberFormat="1" applyFont="1" applyBorder="1">
      <alignment vertical="center"/>
    </xf>
    <xf numFmtId="0" fontId="47" fillId="0" borderId="1" xfId="0" applyFont="1" applyBorder="1">
      <alignment vertical="center"/>
    </xf>
    <xf numFmtId="38" fontId="47" fillId="0" borderId="1" xfId="3" applyFont="1" applyBorder="1">
      <alignment vertical="center"/>
    </xf>
    <xf numFmtId="38" fontId="47" fillId="0" borderId="5" xfId="3" applyFont="1" applyBorder="1">
      <alignment vertical="center"/>
    </xf>
    <xf numFmtId="38" fontId="47" fillId="0" borderId="72" xfId="3" applyFont="1" applyBorder="1">
      <alignment vertical="center"/>
    </xf>
    <xf numFmtId="49" fontId="47" fillId="0" borderId="1" xfId="3" applyNumberFormat="1" applyFont="1" applyBorder="1">
      <alignment vertical="center"/>
    </xf>
    <xf numFmtId="38" fontId="44" fillId="0" borderId="1" xfId="3" applyFont="1" applyBorder="1">
      <alignment vertical="center"/>
    </xf>
    <xf numFmtId="40" fontId="44" fillId="0" borderId="1" xfId="3" applyNumberFormat="1" applyFont="1" applyBorder="1">
      <alignment vertical="center"/>
    </xf>
    <xf numFmtId="38" fontId="44" fillId="0" borderId="38" xfId="3" applyFont="1" applyBorder="1">
      <alignment vertical="center"/>
    </xf>
    <xf numFmtId="38" fontId="44" fillId="0" borderId="5" xfId="3" applyFont="1" applyBorder="1">
      <alignment vertical="center"/>
    </xf>
    <xf numFmtId="49" fontId="44" fillId="0" borderId="1" xfId="3" applyNumberFormat="1" applyFont="1" applyBorder="1">
      <alignment vertical="center"/>
    </xf>
    <xf numFmtId="193" fontId="44" fillId="0" borderId="1" xfId="3" applyNumberFormat="1" applyFont="1" applyBorder="1">
      <alignment vertical="center"/>
    </xf>
    <xf numFmtId="0" fontId="47" fillId="0" borderId="97" xfId="0" applyFont="1" applyBorder="1">
      <alignment vertical="center"/>
    </xf>
    <xf numFmtId="38" fontId="47" fillId="0" borderId="97" xfId="3" applyFont="1" applyBorder="1">
      <alignment vertical="center"/>
    </xf>
    <xf numFmtId="38" fontId="47" fillId="0" borderId="98" xfId="3" applyFont="1" applyBorder="1">
      <alignment vertical="center"/>
    </xf>
    <xf numFmtId="38" fontId="47" fillId="0" borderId="99" xfId="3" applyFont="1" applyBorder="1">
      <alignment vertical="center"/>
    </xf>
    <xf numFmtId="49" fontId="47" fillId="0" borderId="97" xfId="3" applyNumberFormat="1" applyFont="1" applyBorder="1">
      <alignment vertical="center"/>
    </xf>
    <xf numFmtId="38" fontId="44" fillId="0" borderId="97" xfId="3" applyFont="1" applyBorder="1">
      <alignment vertical="center"/>
    </xf>
    <xf numFmtId="40" fontId="44" fillId="0" borderId="97" xfId="3" applyNumberFormat="1" applyFont="1" applyBorder="1">
      <alignment vertical="center"/>
    </xf>
    <xf numFmtId="193" fontId="44" fillId="0" borderId="97" xfId="3" applyNumberFormat="1" applyFont="1" applyBorder="1">
      <alignment vertical="center"/>
    </xf>
    <xf numFmtId="38" fontId="44" fillId="0" borderId="100" xfId="3" applyFont="1" applyBorder="1">
      <alignment vertical="center"/>
    </xf>
    <xf numFmtId="38" fontId="42" fillId="0" borderId="0" xfId="3" applyFont="1">
      <alignment vertical="center"/>
    </xf>
    <xf numFmtId="38" fontId="48" fillId="0" borderId="0" xfId="3" applyFont="1">
      <alignment vertical="center"/>
    </xf>
    <xf numFmtId="0" fontId="43" fillId="0" borderId="97" xfId="0" applyFont="1" applyBorder="1">
      <alignment vertical="center"/>
    </xf>
    <xf numFmtId="0" fontId="43" fillId="0" borderId="97" xfId="0" applyFont="1" applyBorder="1" applyAlignment="1">
      <alignment vertical="center" wrapText="1"/>
    </xf>
    <xf numFmtId="0" fontId="46" fillId="13" borderId="1" xfId="0" applyFont="1" applyFill="1" applyBorder="1">
      <alignment vertical="center"/>
    </xf>
    <xf numFmtId="38" fontId="46" fillId="13" borderId="1" xfId="3" applyFont="1" applyFill="1" applyBorder="1">
      <alignment vertical="center"/>
    </xf>
    <xf numFmtId="38" fontId="46" fillId="13" borderId="38" xfId="3" applyFont="1" applyFill="1" applyBorder="1">
      <alignment vertical="center"/>
    </xf>
    <xf numFmtId="38" fontId="46" fillId="13" borderId="83" xfId="3" applyFont="1" applyFill="1" applyBorder="1">
      <alignment vertical="center"/>
    </xf>
    <xf numFmtId="40" fontId="46" fillId="13" borderId="1" xfId="3" applyNumberFormat="1" applyFont="1" applyFill="1" applyBorder="1">
      <alignment vertical="center"/>
    </xf>
    <xf numFmtId="0" fontId="46" fillId="13" borderId="60" xfId="0" applyFont="1" applyFill="1" applyBorder="1">
      <alignment vertical="center"/>
    </xf>
    <xf numFmtId="38" fontId="46" fillId="13" borderId="60" xfId="3" applyFont="1" applyFill="1" applyBorder="1">
      <alignment vertical="center"/>
    </xf>
    <xf numFmtId="38" fontId="46" fillId="13" borderId="101" xfId="3" applyFont="1" applyFill="1" applyBorder="1">
      <alignment vertical="center"/>
    </xf>
    <xf numFmtId="38" fontId="46" fillId="13" borderId="102" xfId="3" applyFont="1" applyFill="1" applyBorder="1">
      <alignment vertical="center"/>
    </xf>
    <xf numFmtId="40" fontId="46" fillId="13" borderId="60" xfId="3" applyNumberFormat="1" applyFont="1" applyFill="1" applyBorder="1">
      <alignment vertical="center"/>
    </xf>
    <xf numFmtId="0" fontId="46" fillId="13" borderId="91" xfId="0" applyFont="1" applyFill="1" applyBorder="1">
      <alignment vertical="center"/>
    </xf>
    <xf numFmtId="0" fontId="46" fillId="13" borderId="103" xfId="0" applyFont="1" applyFill="1" applyBorder="1">
      <alignment vertical="center"/>
    </xf>
    <xf numFmtId="0" fontId="46" fillId="13" borderId="38" xfId="0" applyFont="1" applyFill="1" applyBorder="1">
      <alignment vertical="center"/>
    </xf>
    <xf numFmtId="0" fontId="46" fillId="13" borderId="101" xfId="0" applyFont="1" applyFill="1" applyBorder="1">
      <alignment vertical="center"/>
    </xf>
    <xf numFmtId="0" fontId="46" fillId="0" borderId="58" xfId="0" applyFont="1" applyBorder="1">
      <alignment vertical="center"/>
    </xf>
    <xf numFmtId="0" fontId="46" fillId="0" borderId="15" xfId="0" applyFont="1" applyBorder="1">
      <alignment vertical="center"/>
    </xf>
    <xf numFmtId="0" fontId="46" fillId="0" borderId="100" xfId="0" applyFont="1" applyBorder="1">
      <alignment vertical="center"/>
    </xf>
    <xf numFmtId="38" fontId="46" fillId="0" borderId="4" xfId="3" applyFont="1" applyBorder="1">
      <alignment vertical="center"/>
    </xf>
    <xf numFmtId="38" fontId="46" fillId="0" borderId="15" xfId="3" applyFont="1" applyBorder="1">
      <alignment vertical="center"/>
    </xf>
    <xf numFmtId="40" fontId="46" fillId="0" borderId="4" xfId="3" applyNumberFormat="1" applyFont="1" applyBorder="1">
      <alignment vertical="center"/>
    </xf>
    <xf numFmtId="185" fontId="46" fillId="0" borderId="4" xfId="0" applyNumberFormat="1" applyFont="1" applyBorder="1">
      <alignment vertical="center"/>
    </xf>
    <xf numFmtId="0" fontId="46" fillId="16" borderId="4" xfId="0" applyFont="1" applyFill="1" applyBorder="1" applyAlignment="1">
      <alignment horizontal="left" vertical="top" wrapText="1"/>
    </xf>
    <xf numFmtId="0" fontId="46" fillId="0" borderId="1" xfId="0" applyFont="1" applyBorder="1">
      <alignment vertical="center"/>
    </xf>
    <xf numFmtId="38" fontId="46" fillId="0" borderId="1" xfId="3" applyFont="1" applyBorder="1">
      <alignment vertical="center"/>
    </xf>
    <xf numFmtId="38" fontId="46" fillId="0" borderId="38" xfId="3" applyFont="1" applyBorder="1">
      <alignment vertical="center"/>
    </xf>
    <xf numFmtId="38" fontId="46" fillId="0" borderId="83" xfId="3" applyFont="1" applyBorder="1">
      <alignment vertical="center"/>
    </xf>
    <xf numFmtId="40" fontId="46" fillId="0" borderId="1" xfId="3" applyNumberFormat="1" applyFont="1" applyBorder="1">
      <alignment vertical="center"/>
    </xf>
    <xf numFmtId="185" fontId="46" fillId="0" borderId="1" xfId="0" applyNumberFormat="1" applyFont="1" applyBorder="1">
      <alignment vertical="center"/>
    </xf>
    <xf numFmtId="0" fontId="46" fillId="16" borderId="1" xfId="0" applyFont="1" applyFill="1" applyBorder="1" applyAlignment="1">
      <alignment horizontal="left" vertical="top" wrapText="1"/>
    </xf>
    <xf numFmtId="0" fontId="46" fillId="17" borderId="38" xfId="0" applyFont="1" applyFill="1" applyBorder="1" applyAlignment="1">
      <alignment vertical="top" wrapText="1"/>
    </xf>
    <xf numFmtId="0" fontId="46" fillId="0" borderId="97" xfId="0" applyFont="1" applyBorder="1">
      <alignment vertical="center"/>
    </xf>
    <xf numFmtId="38" fontId="46" fillId="0" borderId="97" xfId="3" applyFont="1" applyBorder="1">
      <alignment vertical="center"/>
    </xf>
    <xf numFmtId="38" fontId="46" fillId="0" borderId="100" xfId="3" applyFont="1" applyBorder="1">
      <alignment vertical="center"/>
    </xf>
    <xf numFmtId="38" fontId="46" fillId="0" borderId="104" xfId="3" applyFont="1" applyBorder="1">
      <alignment vertical="center"/>
    </xf>
    <xf numFmtId="40" fontId="46" fillId="0" borderId="97" xfId="3" applyNumberFormat="1" applyFont="1" applyBorder="1">
      <alignment vertical="center"/>
    </xf>
    <xf numFmtId="185" fontId="46" fillId="0" borderId="97" xfId="0" applyNumberFormat="1" applyFont="1" applyBorder="1">
      <alignment vertical="center"/>
    </xf>
    <xf numFmtId="0" fontId="39" fillId="18" borderId="0" xfId="0" applyFont="1" applyFill="1">
      <alignment vertical="center"/>
    </xf>
    <xf numFmtId="0" fontId="3" fillId="19" borderId="13" xfId="0" applyFont="1" applyFill="1" applyBorder="1">
      <alignment vertical="center"/>
    </xf>
    <xf numFmtId="189" fontId="0" fillId="0" borderId="0" xfId="0" applyNumberFormat="1">
      <alignment vertical="center"/>
    </xf>
    <xf numFmtId="0" fontId="0" fillId="19" borderId="0" xfId="0" applyFill="1">
      <alignment vertical="center"/>
    </xf>
    <xf numFmtId="0" fontId="0" fillId="19" borderId="10" xfId="0" applyFill="1" applyBorder="1" applyAlignment="1"/>
    <xf numFmtId="0" fontId="0" fillId="19" borderId="10" xfId="0" applyFill="1" applyBorder="1">
      <alignment vertical="center"/>
    </xf>
    <xf numFmtId="0" fontId="0" fillId="19" borderId="0" xfId="0" applyFill="1" applyAlignment="1"/>
    <xf numFmtId="0" fontId="0" fillId="19" borderId="7" xfId="0" applyFill="1" applyBorder="1" applyAlignment="1"/>
    <xf numFmtId="0" fontId="0" fillId="19" borderId="9" xfId="0" applyFill="1" applyBorder="1">
      <alignment vertical="center"/>
    </xf>
    <xf numFmtId="0" fontId="0" fillId="19" borderId="90" xfId="0" applyFill="1" applyBorder="1" applyAlignment="1"/>
    <xf numFmtId="0" fontId="0" fillId="19" borderId="10" xfId="0" applyFill="1" applyBorder="1" applyAlignment="1">
      <alignment horizontal="left" vertical="top" wrapText="1"/>
    </xf>
    <xf numFmtId="0" fontId="0" fillId="19" borderId="6" xfId="0" applyFill="1" applyBorder="1" applyAlignment="1"/>
    <xf numFmtId="0" fontId="0" fillId="19" borderId="7" xfId="0" applyFill="1" applyBorder="1">
      <alignment vertical="center"/>
    </xf>
    <xf numFmtId="0" fontId="0" fillId="19" borderId="6" xfId="0" applyFill="1" applyBorder="1">
      <alignment vertical="center"/>
    </xf>
    <xf numFmtId="0" fontId="0" fillId="19" borderId="0" xfId="0" applyFill="1" applyAlignment="1">
      <alignment horizontal="center" vertical="center"/>
    </xf>
    <xf numFmtId="0" fontId="0" fillId="19" borderId="0" xfId="0" applyFill="1" applyAlignment="1">
      <alignment horizontal="left" vertical="center"/>
    </xf>
    <xf numFmtId="38" fontId="0" fillId="19" borderId="0" xfId="0" applyNumberFormat="1" applyFill="1">
      <alignment vertical="center"/>
    </xf>
    <xf numFmtId="0" fontId="0" fillId="19" borderId="0" xfId="0" applyFill="1" applyAlignment="1">
      <alignment horizontal="left" vertical="top" wrapText="1"/>
    </xf>
    <xf numFmtId="197" fontId="0" fillId="0" borderId="0" xfId="0" applyNumberFormat="1">
      <alignment vertical="center"/>
    </xf>
    <xf numFmtId="0" fontId="49" fillId="18" borderId="0" xfId="0" applyFont="1" applyFill="1">
      <alignment vertical="center"/>
    </xf>
    <xf numFmtId="0" fontId="0" fillId="18" borderId="0" xfId="0" applyFill="1">
      <alignment vertical="center"/>
    </xf>
    <xf numFmtId="197" fontId="0" fillId="0" borderId="0" xfId="0" applyNumberFormat="1" applyAlignment="1">
      <alignment vertical="top" wrapText="1"/>
    </xf>
    <xf numFmtId="197" fontId="0" fillId="0" borderId="0" xfId="0" applyNumberFormat="1" applyAlignment="1"/>
    <xf numFmtId="188" fontId="0" fillId="19" borderId="9" xfId="0" applyNumberFormat="1" applyFill="1" applyBorder="1" applyAlignment="1">
      <alignment horizontal="right" vertical="center"/>
    </xf>
    <xf numFmtId="0" fontId="0" fillId="19" borderId="76" xfId="0" applyFill="1" applyBorder="1" applyAlignment="1">
      <alignment horizontal="center" vertical="center"/>
    </xf>
    <xf numFmtId="197" fontId="0" fillId="19" borderId="0" xfId="0" applyNumberFormat="1" applyFill="1">
      <alignment vertical="center"/>
    </xf>
    <xf numFmtId="0" fontId="0" fillId="19" borderId="10" xfId="0" applyFill="1" applyBorder="1" applyAlignment="1">
      <alignment horizontal="right" vertical="center"/>
    </xf>
    <xf numFmtId="0" fontId="0" fillId="19" borderId="59" xfId="0" applyFill="1" applyBorder="1">
      <alignment vertical="center"/>
    </xf>
    <xf numFmtId="0" fontId="0" fillId="19" borderId="58" xfId="0" applyFill="1" applyBorder="1" applyAlignment="1">
      <alignment horizontal="left" vertical="top" wrapText="1"/>
    </xf>
    <xf numFmtId="38" fontId="6" fillId="0" borderId="0" xfId="4" applyFont="1" applyAlignment="1">
      <alignment vertical="center"/>
    </xf>
    <xf numFmtId="38" fontId="4" fillId="0" borderId="0" xfId="4" applyFont="1" applyAlignment="1">
      <alignment vertical="center"/>
    </xf>
    <xf numFmtId="38" fontId="6" fillId="0" borderId="0" xfId="4" applyFont="1" applyAlignment="1">
      <alignment horizontal="center" vertical="center"/>
    </xf>
    <xf numFmtId="14" fontId="0" fillId="0" borderId="0" xfId="0" applyNumberFormat="1">
      <alignment vertical="center"/>
    </xf>
    <xf numFmtId="0" fontId="23" fillId="14" borderId="7" xfId="0" applyFont="1" applyFill="1" applyBorder="1">
      <alignment vertical="center"/>
    </xf>
    <xf numFmtId="0" fontId="23" fillId="14" borderId="58" xfId="0" applyFont="1" applyFill="1" applyBorder="1">
      <alignment vertical="center"/>
    </xf>
    <xf numFmtId="191" fontId="0" fillId="20" borderId="4" xfId="0" applyNumberFormat="1" applyFill="1" applyBorder="1">
      <alignment vertical="center"/>
    </xf>
    <xf numFmtId="0" fontId="23" fillId="0" borderId="73" xfId="0" applyFont="1" applyBorder="1">
      <alignment vertical="center"/>
    </xf>
    <xf numFmtId="191" fontId="0" fillId="0" borderId="73" xfId="0" applyNumberFormat="1" applyBorder="1">
      <alignment vertical="center"/>
    </xf>
    <xf numFmtId="0" fontId="23" fillId="0" borderId="66" xfId="0" applyFont="1" applyBorder="1">
      <alignment vertical="center"/>
    </xf>
    <xf numFmtId="191" fontId="0" fillId="0" borderId="66" xfId="0" applyNumberFormat="1" applyBorder="1">
      <alignment vertical="center"/>
    </xf>
    <xf numFmtId="0" fontId="23" fillId="14" borderId="59" xfId="0" applyFont="1" applyFill="1" applyBorder="1">
      <alignment vertical="center"/>
    </xf>
    <xf numFmtId="0" fontId="23" fillId="0" borderId="69" xfId="0" applyFont="1" applyBorder="1">
      <alignment vertical="center"/>
    </xf>
    <xf numFmtId="191" fontId="0" fillId="0" borderId="69" xfId="0" applyNumberFormat="1" applyBorder="1">
      <alignment vertical="center"/>
    </xf>
    <xf numFmtId="0" fontId="23" fillId="14" borderId="76" xfId="0" applyFont="1" applyFill="1" applyBorder="1">
      <alignment vertical="center"/>
    </xf>
    <xf numFmtId="0" fontId="23" fillId="14" borderId="83" xfId="0" applyFont="1" applyFill="1" applyBorder="1">
      <alignment vertical="center"/>
    </xf>
    <xf numFmtId="191" fontId="0" fillId="20" borderId="1" xfId="0" applyNumberFormat="1" applyFill="1" applyBorder="1">
      <alignment vertical="center"/>
    </xf>
    <xf numFmtId="191" fontId="0" fillId="0" borderId="89" xfId="0" applyNumberFormat="1" applyBorder="1">
      <alignment vertical="center"/>
    </xf>
    <xf numFmtId="191" fontId="0" fillId="0" borderId="112" xfId="0" applyNumberFormat="1" applyBorder="1">
      <alignment vertical="center"/>
    </xf>
    <xf numFmtId="191" fontId="0" fillId="0" borderId="113" xfId="0" applyNumberFormat="1" applyBorder="1">
      <alignment vertical="center"/>
    </xf>
    <xf numFmtId="0" fontId="23" fillId="14" borderId="5" xfId="0" applyFont="1" applyFill="1" applyBorder="1">
      <alignment vertical="center"/>
    </xf>
    <xf numFmtId="191" fontId="0" fillId="20" borderId="83" xfId="0" applyNumberFormat="1" applyFill="1" applyBorder="1">
      <alignment vertical="center"/>
    </xf>
    <xf numFmtId="9" fontId="0" fillId="20" borderId="83" xfId="0" applyNumberFormat="1" applyFill="1" applyBorder="1">
      <alignment vertical="center"/>
    </xf>
    <xf numFmtId="9" fontId="0" fillId="20" borderId="1" xfId="0" applyNumberFormat="1" applyFill="1" applyBorder="1">
      <alignment vertical="center"/>
    </xf>
    <xf numFmtId="0" fontId="23" fillId="14" borderId="90" xfId="0" applyFont="1" applyFill="1" applyBorder="1">
      <alignment vertical="center"/>
    </xf>
    <xf numFmtId="191" fontId="0" fillId="20" borderId="90" xfId="0" applyNumberFormat="1" applyFill="1" applyBorder="1">
      <alignment vertical="center"/>
    </xf>
    <xf numFmtId="191" fontId="0" fillId="20" borderId="2" xfId="0" applyNumberFormat="1" applyFill="1" applyBorder="1">
      <alignment vertical="center"/>
    </xf>
    <xf numFmtId="0" fontId="50" fillId="21" borderId="79" xfId="0" applyFont="1" applyFill="1" applyBorder="1">
      <alignment vertical="center"/>
    </xf>
    <xf numFmtId="0" fontId="50" fillId="21" borderId="81" xfId="0" applyFont="1" applyFill="1" applyBorder="1">
      <alignment vertical="center"/>
    </xf>
    <xf numFmtId="191" fontId="0" fillId="0" borderId="81" xfId="0" applyNumberFormat="1" applyBorder="1">
      <alignment vertical="center"/>
    </xf>
    <xf numFmtId="191" fontId="0" fillId="0" borderId="35" xfId="0" applyNumberFormat="1" applyBorder="1">
      <alignment vertical="center"/>
    </xf>
    <xf numFmtId="191" fontId="0" fillId="20" borderId="73" xfId="0" applyNumberFormat="1" applyFill="1" applyBorder="1">
      <alignment vertical="center"/>
    </xf>
    <xf numFmtId="191" fontId="0" fillId="20" borderId="66" xfId="0" applyNumberFormat="1" applyFill="1" applyBorder="1">
      <alignment vertical="center"/>
    </xf>
    <xf numFmtId="191" fontId="0" fillId="20" borderId="58" xfId="0" applyNumberFormat="1" applyFill="1" applyBorder="1">
      <alignment vertical="center"/>
    </xf>
    <xf numFmtId="191" fontId="0" fillId="0" borderId="4" xfId="0" applyNumberFormat="1" applyBorder="1">
      <alignment vertical="center"/>
    </xf>
    <xf numFmtId="191" fontId="0" fillId="0" borderId="6" xfId="0" applyNumberFormat="1" applyBorder="1">
      <alignment vertical="center"/>
    </xf>
    <xf numFmtId="191" fontId="0" fillId="0" borderId="0" xfId="0" applyNumberFormat="1">
      <alignment vertical="center"/>
    </xf>
    <xf numFmtId="0" fontId="51" fillId="0" borderId="0" xfId="0" applyFont="1">
      <alignment vertical="center"/>
    </xf>
    <xf numFmtId="0" fontId="23" fillId="0" borderId="4" xfId="0" applyFont="1" applyBorder="1">
      <alignment vertical="center"/>
    </xf>
    <xf numFmtId="0" fontId="23" fillId="14" borderId="4" xfId="0" applyFont="1" applyFill="1" applyBorder="1">
      <alignment vertical="center"/>
    </xf>
    <xf numFmtId="0" fontId="23" fillId="14" borderId="3" xfId="0" applyFont="1" applyFill="1" applyBorder="1">
      <alignment vertical="center"/>
    </xf>
    <xf numFmtId="0" fontId="4" fillId="13" borderId="114" xfId="0" applyFont="1" applyFill="1" applyBorder="1" applyAlignment="1">
      <alignment horizontal="center" vertical="center" wrapText="1"/>
    </xf>
    <xf numFmtId="0" fontId="0" fillId="13" borderId="73" xfId="0" applyFill="1" applyBorder="1" applyAlignment="1">
      <alignment horizontal="center" vertical="center"/>
    </xf>
    <xf numFmtId="0" fontId="52" fillId="18" borderId="0" xfId="0" applyFont="1" applyFill="1">
      <alignment vertical="center"/>
    </xf>
    <xf numFmtId="191" fontId="53" fillId="0" borderId="6" xfId="0" applyNumberFormat="1" applyFont="1" applyBorder="1">
      <alignment vertical="center"/>
    </xf>
    <xf numFmtId="191" fontId="53" fillId="0" borderId="0" xfId="0" applyNumberFormat="1" applyFont="1">
      <alignment vertical="center"/>
    </xf>
    <xf numFmtId="191" fontId="53" fillId="0" borderId="9" xfId="0" applyNumberFormat="1" applyFont="1" applyBorder="1">
      <alignment vertical="center"/>
    </xf>
    <xf numFmtId="0" fontId="53" fillId="0" borderId="6" xfId="0" applyFont="1" applyBorder="1">
      <alignment vertical="center"/>
    </xf>
    <xf numFmtId="0" fontId="53" fillId="0" borderId="0" xfId="0" applyFont="1">
      <alignment vertical="center"/>
    </xf>
    <xf numFmtId="0" fontId="53" fillId="0" borderId="9" xfId="0" applyFont="1" applyBorder="1">
      <alignment vertical="center"/>
    </xf>
    <xf numFmtId="0" fontId="12" fillId="11" borderId="45" xfId="5" applyFont="1" applyFill="1" applyBorder="1" applyAlignment="1">
      <alignment horizontal="right" vertical="top" wrapText="1"/>
    </xf>
    <xf numFmtId="186" fontId="12" fillId="11" borderId="46" xfId="5" applyNumberFormat="1" applyFont="1" applyFill="1" applyBorder="1" applyAlignment="1">
      <alignment horizontal="right" vertical="top" wrapText="1"/>
    </xf>
    <xf numFmtId="191" fontId="0" fillId="0" borderId="73" xfId="0" quotePrefix="1" applyNumberFormat="1" applyBorder="1">
      <alignment vertical="center"/>
    </xf>
    <xf numFmtId="0" fontId="53" fillId="14" borderId="5" xfId="0" applyFont="1" applyFill="1" applyBorder="1">
      <alignment vertical="center"/>
    </xf>
    <xf numFmtId="202" fontId="3" fillId="0" borderId="73" xfId="3" applyNumberFormat="1" applyFont="1" applyBorder="1">
      <alignment vertical="center"/>
    </xf>
    <xf numFmtId="202" fontId="3" fillId="0" borderId="66" xfId="3" applyNumberFormat="1" applyFont="1" applyBorder="1">
      <alignment vertical="center"/>
    </xf>
    <xf numFmtId="202" fontId="3" fillId="0" borderId="69" xfId="3" applyNumberFormat="1" applyFont="1" applyBorder="1">
      <alignment vertical="center"/>
    </xf>
    <xf numFmtId="202" fontId="3" fillId="2" borderId="1" xfId="3" applyNumberFormat="1" applyFont="1" applyFill="1" applyBorder="1">
      <alignment vertical="center"/>
    </xf>
    <xf numFmtId="202" fontId="3" fillId="0" borderId="84" xfId="3" applyNumberFormat="1" applyFont="1" applyBorder="1">
      <alignment vertical="center"/>
    </xf>
    <xf numFmtId="196" fontId="3" fillId="0" borderId="3" xfId="0" applyNumberFormat="1" applyFont="1" applyBorder="1">
      <alignment vertical="center"/>
    </xf>
    <xf numFmtId="0" fontId="3" fillId="0" borderId="66" xfId="3" applyNumberFormat="1" applyFont="1" applyBorder="1" applyAlignment="1">
      <alignment horizontal="right" vertical="center"/>
    </xf>
    <xf numFmtId="0" fontId="2" fillId="0" borderId="63" xfId="0" applyFont="1" applyBorder="1">
      <alignment vertical="center"/>
    </xf>
    <xf numFmtId="182" fontId="3" fillId="0" borderId="1" xfId="1" applyNumberFormat="1" applyFont="1" applyBorder="1">
      <alignment vertical="center"/>
    </xf>
    <xf numFmtId="0" fontId="13" fillId="0" borderId="5" xfId="0" applyFont="1" applyBorder="1">
      <alignment vertical="center"/>
    </xf>
    <xf numFmtId="0" fontId="25" fillId="19" borderId="0" xfId="0" applyFont="1" applyFill="1">
      <alignment vertical="center"/>
    </xf>
    <xf numFmtId="0" fontId="26" fillId="19" borderId="10" xfId="0" applyFont="1" applyFill="1" applyBorder="1" applyAlignment="1">
      <alignment horizontal="center" vertical="center"/>
    </xf>
    <xf numFmtId="0" fontId="0" fillId="19" borderId="76" xfId="0" applyFill="1" applyBorder="1">
      <alignment vertical="center"/>
    </xf>
    <xf numFmtId="0" fontId="5" fillId="19" borderId="0" xfId="0" applyFont="1" applyFill="1">
      <alignment vertical="center"/>
    </xf>
    <xf numFmtId="0" fontId="0" fillId="19" borderId="0" xfId="0" applyFill="1" applyAlignment="1">
      <alignment horizontal="right" vertical="top" wrapText="1"/>
    </xf>
    <xf numFmtId="0" fontId="0" fillId="19" borderId="0" xfId="0" applyFill="1" applyAlignment="1">
      <alignment vertical="top" wrapText="1"/>
    </xf>
    <xf numFmtId="188" fontId="0" fillId="19" borderId="0" xfId="0" applyNumberFormat="1" applyFill="1">
      <alignment vertical="center"/>
    </xf>
    <xf numFmtId="188" fontId="0" fillId="19" borderId="0" xfId="0" applyNumberFormat="1" applyFill="1" applyAlignment="1">
      <alignment vertical="top" wrapText="1"/>
    </xf>
    <xf numFmtId="0" fontId="0" fillId="19" borderId="7" xfId="0" applyFill="1" applyBorder="1" applyAlignment="1">
      <alignment vertical="top" wrapText="1"/>
    </xf>
    <xf numFmtId="0" fontId="0" fillId="19" borderId="0" xfId="0" applyFill="1" applyAlignment="1">
      <alignment horizontal="right" vertical="center"/>
    </xf>
    <xf numFmtId="191" fontId="5" fillId="19" borderId="0" xfId="0" applyNumberFormat="1" applyFont="1" applyFill="1" applyAlignment="1"/>
    <xf numFmtId="0" fontId="0" fillId="19" borderId="5" xfId="0" applyFill="1" applyBorder="1" applyAlignment="1">
      <alignment horizontal="center" vertical="center"/>
    </xf>
    <xf numFmtId="0" fontId="0" fillId="19" borderId="110" xfId="0" applyFill="1" applyBorder="1" applyAlignment="1">
      <alignment horizontal="center" vertical="center"/>
    </xf>
    <xf numFmtId="0" fontId="0" fillId="19" borderId="98" xfId="0" applyFill="1" applyBorder="1" applyAlignment="1">
      <alignment horizontal="center" vertical="center"/>
    </xf>
    <xf numFmtId="0" fontId="0" fillId="19" borderId="118" xfId="0" applyFill="1" applyBorder="1" applyAlignment="1">
      <alignment horizontal="center" vertical="center"/>
    </xf>
    <xf numFmtId="0" fontId="0" fillId="19" borderId="119" xfId="0" applyFill="1" applyBorder="1" applyAlignment="1">
      <alignment horizontal="center" vertical="center"/>
    </xf>
    <xf numFmtId="0" fontId="0" fillId="19" borderId="46" xfId="0" applyFill="1" applyBorder="1" applyAlignment="1">
      <alignment horizontal="center" vertical="center"/>
    </xf>
    <xf numFmtId="191" fontId="0" fillId="0" borderId="112" xfId="0" applyNumberFormat="1" applyBorder="1" applyAlignment="1">
      <alignment horizontal="right" vertical="center"/>
    </xf>
    <xf numFmtId="191" fontId="0" fillId="0" borderId="58" xfId="0" applyNumberFormat="1" applyBorder="1">
      <alignment vertical="center"/>
    </xf>
    <xf numFmtId="0" fontId="23" fillId="0" borderId="90" xfId="0" applyFont="1" applyBorder="1">
      <alignment vertical="center"/>
    </xf>
    <xf numFmtId="191" fontId="0" fillId="0" borderId="90" xfId="0" applyNumberFormat="1" applyBorder="1">
      <alignment vertical="center"/>
    </xf>
    <xf numFmtId="191" fontId="0" fillId="0" borderId="2" xfId="0" applyNumberFormat="1" applyBorder="1">
      <alignment vertical="center"/>
    </xf>
    <xf numFmtId="179" fontId="0" fillId="20" borderId="83" xfId="0" applyNumberFormat="1" applyFill="1" applyBorder="1">
      <alignment vertical="center"/>
    </xf>
    <xf numFmtId="206" fontId="0" fillId="0" borderId="0" xfId="0" applyNumberFormat="1">
      <alignment vertical="center"/>
    </xf>
    <xf numFmtId="0" fontId="53" fillId="14" borderId="7" xfId="0" applyFont="1" applyFill="1" applyBorder="1">
      <alignment vertical="center"/>
    </xf>
    <xf numFmtId="0" fontId="53" fillId="14" borderId="3" xfId="0" applyFont="1" applyFill="1" applyBorder="1">
      <alignment vertical="center"/>
    </xf>
    <xf numFmtId="0" fontId="53" fillId="14" borderId="4" xfId="0" applyFont="1" applyFill="1" applyBorder="1">
      <alignment vertical="center"/>
    </xf>
    <xf numFmtId="0" fontId="53" fillId="0" borderId="90" xfId="0" applyFont="1" applyBorder="1">
      <alignment vertical="center"/>
    </xf>
    <xf numFmtId="191" fontId="53" fillId="0" borderId="90" xfId="0" applyNumberFormat="1" applyFont="1" applyBorder="1">
      <alignment vertical="center"/>
    </xf>
    <xf numFmtId="0" fontId="53" fillId="0" borderId="69" xfId="0" applyFont="1" applyBorder="1">
      <alignment vertical="center"/>
    </xf>
    <xf numFmtId="191" fontId="53" fillId="0" borderId="113" xfId="0" applyNumberFormat="1" applyFont="1" applyBorder="1">
      <alignment vertical="center"/>
    </xf>
    <xf numFmtId="191" fontId="53" fillId="0" borderId="90" xfId="0" applyNumberFormat="1" applyFont="1" applyBorder="1" applyAlignment="1">
      <alignment horizontal="right" vertical="center"/>
    </xf>
    <xf numFmtId="191" fontId="53" fillId="0" borderId="113" xfId="0" applyNumberFormat="1" applyFont="1" applyBorder="1" applyAlignment="1">
      <alignment horizontal="right" vertical="center"/>
    </xf>
    <xf numFmtId="0" fontId="23" fillId="0" borderId="6" xfId="0" applyFont="1" applyBorder="1" applyAlignment="1">
      <alignment horizontal="left" vertical="top"/>
    </xf>
    <xf numFmtId="179" fontId="0" fillId="0" borderId="0" xfId="0" applyNumberFormat="1">
      <alignment vertical="center"/>
    </xf>
    <xf numFmtId="199" fontId="6" fillId="0" borderId="0" xfId="4" applyNumberFormat="1" applyFont="1" applyAlignment="1">
      <alignment vertical="center"/>
    </xf>
    <xf numFmtId="178" fontId="0" fillId="0" borderId="0" xfId="0" applyNumberFormat="1">
      <alignment vertical="center"/>
    </xf>
    <xf numFmtId="197" fontId="0" fillId="19" borderId="0" xfId="0" applyNumberFormat="1" applyFill="1" applyAlignment="1">
      <alignment horizontal="right"/>
    </xf>
    <xf numFmtId="197" fontId="0" fillId="4" borderId="0" xfId="0" applyNumberFormat="1" applyFill="1" applyAlignment="1">
      <alignment vertical="top" wrapText="1"/>
    </xf>
    <xf numFmtId="0" fontId="0" fillId="10" borderId="0" xfId="0" applyFill="1" applyAlignment="1">
      <alignment vertical="top" wrapText="1"/>
    </xf>
    <xf numFmtId="0" fontId="0" fillId="22" borderId="0" xfId="0" applyFill="1" applyAlignment="1">
      <alignment vertical="top" wrapText="1"/>
    </xf>
    <xf numFmtId="0" fontId="0" fillId="22" borderId="0" xfId="0" applyFill="1">
      <alignment vertical="center"/>
    </xf>
    <xf numFmtId="197" fontId="0" fillId="10" borderId="0" xfId="0" applyNumberFormat="1" applyFill="1" applyAlignment="1">
      <alignment horizontal="right" vertical="top" wrapText="1"/>
    </xf>
    <xf numFmtId="188" fontId="0" fillId="10" borderId="0" xfId="0" applyNumberFormat="1" applyFill="1" applyAlignment="1">
      <alignment vertical="top" wrapText="1"/>
    </xf>
    <xf numFmtId="0" fontId="0" fillId="10" borderId="0" xfId="0" applyFill="1">
      <alignment vertical="center"/>
    </xf>
    <xf numFmtId="0" fontId="0" fillId="23" borderId="0" xfId="0" applyFill="1">
      <alignment vertical="center"/>
    </xf>
    <xf numFmtId="197" fontId="0" fillId="8" borderId="0" xfId="0" applyNumberFormat="1" applyFill="1" applyAlignment="1">
      <alignment horizontal="right" vertical="top" wrapText="1"/>
    </xf>
    <xf numFmtId="197" fontId="0" fillId="10" borderId="0" xfId="0" applyNumberFormat="1" applyFill="1" applyAlignment="1">
      <alignment vertical="top" wrapText="1"/>
    </xf>
    <xf numFmtId="0" fontId="55" fillId="10" borderId="0" xfId="0" applyFont="1" applyFill="1">
      <alignment vertical="center"/>
    </xf>
    <xf numFmtId="0" fontId="51" fillId="10" borderId="0" xfId="0" applyFont="1" applyFill="1">
      <alignment vertical="center"/>
    </xf>
    <xf numFmtId="0" fontId="0" fillId="23" borderId="0" xfId="0" applyFill="1" applyAlignment="1">
      <alignment vertical="top" wrapText="1"/>
    </xf>
    <xf numFmtId="0" fontId="0" fillId="24" borderId="0" xfId="0" applyFill="1">
      <alignment vertical="center"/>
    </xf>
    <xf numFmtId="0" fontId="0" fillId="24" borderId="0" xfId="0" applyFill="1" applyAlignment="1"/>
    <xf numFmtId="197" fontId="0" fillId="22" borderId="0" xfId="0" applyNumberFormat="1" applyFill="1" applyAlignment="1">
      <alignment vertical="top" wrapText="1"/>
    </xf>
    <xf numFmtId="0" fontId="0" fillId="24" borderId="0" xfId="0" applyFill="1" applyAlignment="1">
      <alignment horizontal="right"/>
    </xf>
    <xf numFmtId="0" fontId="0" fillId="24" borderId="0" xfId="0" applyFill="1" applyAlignment="1">
      <alignment vertical="top" wrapText="1"/>
    </xf>
    <xf numFmtId="197" fontId="0" fillId="24" borderId="0" xfId="0" applyNumberFormat="1" applyFill="1" applyAlignment="1">
      <alignment vertical="top" wrapText="1"/>
    </xf>
    <xf numFmtId="0" fontId="0" fillId="25" borderId="0" xfId="0" applyFill="1">
      <alignment vertical="center"/>
    </xf>
    <xf numFmtId="197" fontId="0" fillId="25" borderId="0" xfId="0" applyNumberFormat="1" applyFill="1" applyAlignment="1">
      <alignment horizontal="right" vertical="top" wrapText="1"/>
    </xf>
    <xf numFmtId="188" fontId="0" fillId="19" borderId="0" xfId="0" applyNumberFormat="1" applyFill="1" applyAlignment="1">
      <alignment horizontal="right" vertical="center"/>
    </xf>
    <xf numFmtId="0" fontId="0" fillId="19" borderId="55" xfId="0" applyFill="1" applyBorder="1" applyAlignment="1">
      <alignment vertical="top" wrapText="1"/>
    </xf>
    <xf numFmtId="0" fontId="0" fillId="19" borderId="131" xfId="0" applyFill="1" applyBorder="1">
      <alignment vertical="center"/>
    </xf>
    <xf numFmtId="0" fontId="39" fillId="18" borderId="0" xfId="0" applyFont="1" applyFill="1" applyAlignment="1"/>
    <xf numFmtId="14" fontId="39" fillId="18" borderId="0" xfId="0" applyNumberFormat="1" applyFont="1" applyFill="1" applyAlignment="1">
      <alignment horizontal="center"/>
    </xf>
    <xf numFmtId="38" fontId="6" fillId="0" borderId="0" xfId="4" applyFont="1" applyBorder="1" applyAlignment="1">
      <alignment horizontal="center" vertical="center"/>
    </xf>
    <xf numFmtId="38" fontId="30" fillId="0" borderId="95" xfId="4" applyFont="1" applyBorder="1" applyAlignment="1">
      <alignment vertical="center"/>
    </xf>
    <xf numFmtId="38" fontId="30" fillId="0" borderId="137" xfId="4" applyFont="1" applyBorder="1" applyAlignment="1">
      <alignment vertical="center"/>
    </xf>
    <xf numFmtId="38" fontId="30" fillId="0" borderId="130" xfId="4" applyFont="1" applyBorder="1" applyAlignment="1">
      <alignment vertical="center"/>
    </xf>
    <xf numFmtId="38" fontId="30" fillId="0" borderId="138" xfId="4" applyFont="1" applyBorder="1" applyAlignment="1">
      <alignment vertical="center"/>
    </xf>
    <xf numFmtId="38" fontId="6" fillId="0" borderId="9" xfId="4" applyFont="1" applyBorder="1" applyAlignment="1"/>
    <xf numFmtId="38" fontId="4" fillId="0" borderId="9" xfId="4" applyFont="1" applyBorder="1" applyAlignment="1"/>
    <xf numFmtId="38" fontId="6" fillId="0" borderId="9" xfId="4" applyFont="1" applyBorder="1" applyAlignment="1">
      <alignment horizontal="center"/>
    </xf>
    <xf numFmtId="0" fontId="1" fillId="0" borderId="0" xfId="9"/>
    <xf numFmtId="0" fontId="17" fillId="0" borderId="139" xfId="9" applyFont="1" applyBorder="1" applyAlignment="1">
      <alignment vertical="center"/>
    </xf>
    <xf numFmtId="0" fontId="17" fillId="0" borderId="0" xfId="9" applyFont="1" applyAlignment="1">
      <alignment vertical="center"/>
    </xf>
    <xf numFmtId="0" fontId="17" fillId="2" borderId="0" xfId="9" applyFont="1" applyFill="1" applyAlignment="1">
      <alignment vertical="center"/>
    </xf>
    <xf numFmtId="38" fontId="6" fillId="0" borderId="124" xfId="4" applyFont="1" applyBorder="1" applyAlignment="1">
      <alignment horizontal="center"/>
    </xf>
    <xf numFmtId="0" fontId="8" fillId="0" borderId="0" xfId="9" applyFont="1"/>
    <xf numFmtId="0" fontId="1" fillId="0" borderId="0" xfId="9" applyAlignment="1">
      <alignment vertical="center"/>
    </xf>
    <xf numFmtId="0" fontId="2" fillId="0" borderId="60" xfId="0" applyFont="1" applyBorder="1" applyAlignment="1">
      <alignment horizontal="center" vertical="center"/>
    </xf>
    <xf numFmtId="0" fontId="3" fillId="19" borderId="0" xfId="0" applyFont="1" applyFill="1">
      <alignment vertical="center"/>
    </xf>
    <xf numFmtId="178" fontId="3" fillId="19" borderId="0" xfId="0" applyNumberFormat="1" applyFont="1" applyFill="1">
      <alignment vertical="center"/>
    </xf>
    <xf numFmtId="38" fontId="4" fillId="0" borderId="0" xfId="4" applyFont="1" applyAlignment="1" applyProtection="1">
      <alignment vertical="center"/>
      <protection locked="0"/>
    </xf>
    <xf numFmtId="199" fontId="6" fillId="0" borderId="0" xfId="4" applyNumberFormat="1" applyFont="1" applyAlignment="1" applyProtection="1">
      <alignment vertical="center"/>
      <protection locked="0"/>
    </xf>
    <xf numFmtId="38" fontId="6" fillId="0" borderId="0" xfId="4" applyFont="1" applyBorder="1" applyAlignment="1" applyProtection="1">
      <alignment horizontal="center" vertical="center"/>
      <protection locked="0"/>
    </xf>
    <xf numFmtId="0" fontId="1" fillId="0" borderId="0" xfId="0" applyFont="1" applyAlignment="1"/>
    <xf numFmtId="0" fontId="27" fillId="0" borderId="140" xfId="0" applyFont="1" applyBorder="1" applyAlignment="1"/>
    <xf numFmtId="0" fontId="16" fillId="0" borderId="139" xfId="0" applyFont="1" applyBorder="1">
      <alignment vertical="center"/>
    </xf>
    <xf numFmtId="0" fontId="17" fillId="0" borderId="139" xfId="0" applyFont="1" applyBorder="1">
      <alignment vertical="center"/>
    </xf>
    <xf numFmtId="0" fontId="17" fillId="0" borderId="0" xfId="0" applyFont="1">
      <alignment vertical="center"/>
    </xf>
    <xf numFmtId="0" fontId="28" fillId="0" borderId="0" xfId="0" applyFont="1">
      <alignment vertical="center"/>
    </xf>
    <xf numFmtId="0" fontId="18" fillId="0" borderId="0" xfId="0" applyFont="1">
      <alignment vertical="center"/>
    </xf>
    <xf numFmtId="0" fontId="17" fillId="0" borderId="141" xfId="0" applyFont="1" applyBorder="1">
      <alignment vertical="center"/>
    </xf>
    <xf numFmtId="0" fontId="29" fillId="2" borderId="0" xfId="0" applyFont="1" applyFill="1">
      <alignment vertical="center"/>
    </xf>
    <xf numFmtId="0" fontId="28" fillId="2" borderId="0" xfId="0" applyFont="1" applyFill="1">
      <alignment vertical="center"/>
    </xf>
    <xf numFmtId="0" fontId="17" fillId="2" borderId="0" xfId="0" applyFont="1" applyFill="1">
      <alignment vertical="center"/>
    </xf>
    <xf numFmtId="0" fontId="0" fillId="0" borderId="9" xfId="0" applyBorder="1" applyAlignment="1">
      <alignment horizontal="center"/>
    </xf>
    <xf numFmtId="0" fontId="0" fillId="0" borderId="0" xfId="0" applyAlignment="1">
      <alignment horizontal="center"/>
    </xf>
    <xf numFmtId="0" fontId="19" fillId="0" borderId="0" xfId="0" applyFont="1" applyAlignment="1">
      <alignment horizontal="center" vertical="center"/>
    </xf>
    <xf numFmtId="0" fontId="20" fillId="0" borderId="76" xfId="0" applyFont="1" applyBorder="1">
      <alignment vertical="center"/>
    </xf>
    <xf numFmtId="0" fontId="20" fillId="0" borderId="142" xfId="0" applyFont="1" applyBorder="1">
      <alignment vertical="center"/>
    </xf>
    <xf numFmtId="0" fontId="4" fillId="0" borderId="142" xfId="0" applyFont="1" applyBorder="1" applyAlignment="1"/>
    <xf numFmtId="0" fontId="0" fillId="0" borderId="142" xfId="0" applyBorder="1" applyAlignment="1"/>
    <xf numFmtId="0" fontId="1" fillId="0" borderId="142" xfId="0" applyFont="1" applyBorder="1" applyAlignment="1"/>
    <xf numFmtId="0" fontId="0" fillId="0" borderId="89" xfId="0" applyBorder="1" applyAlignment="1"/>
    <xf numFmtId="0" fontId="20" fillId="0" borderId="59" xfId="0" applyFont="1" applyBorder="1">
      <alignment vertical="center"/>
    </xf>
    <xf numFmtId="0" fontId="20" fillId="0" borderId="9" xfId="0" applyFont="1" applyBorder="1">
      <alignment vertical="center"/>
    </xf>
    <xf numFmtId="0" fontId="4" fillId="0" borderId="9" xfId="0" applyFont="1" applyBorder="1" applyAlignment="1"/>
    <xf numFmtId="0" fontId="0" fillId="0" borderId="9" xfId="0" applyBorder="1" applyAlignment="1"/>
    <xf numFmtId="0" fontId="1" fillId="0" borderId="9" xfId="0" applyFont="1" applyBorder="1" applyAlignment="1"/>
    <xf numFmtId="0" fontId="0" fillId="0" borderId="58" xfId="0" applyBorder="1" applyAlignment="1"/>
    <xf numFmtId="0" fontId="21" fillId="0" borderId="0" xfId="0" applyFont="1" applyAlignment="1"/>
    <xf numFmtId="0" fontId="17" fillId="0" borderId="9" xfId="0" applyFont="1" applyBorder="1">
      <alignment vertical="center"/>
    </xf>
    <xf numFmtId="0" fontId="17" fillId="0" borderId="0" xfId="0" applyFont="1" applyAlignment="1">
      <alignment horizontal="right" vertical="center"/>
    </xf>
    <xf numFmtId="0" fontId="4" fillId="0" borderId="7" xfId="0" applyFont="1" applyBorder="1" applyAlignment="1"/>
    <xf numFmtId="0" fontId="4" fillId="0" borderId="90" xfId="0" applyFont="1" applyBorder="1" applyAlignment="1"/>
    <xf numFmtId="0" fontId="4" fillId="0" borderId="120" xfId="0" applyFont="1" applyBorder="1" applyAlignment="1"/>
    <xf numFmtId="0" fontId="4" fillId="0" borderId="51" xfId="0" applyFont="1" applyBorder="1" applyAlignment="1"/>
    <xf numFmtId="0" fontId="4" fillId="0" borderId="0" xfId="0" applyFont="1" applyAlignment="1"/>
    <xf numFmtId="0" fontId="4" fillId="0" borderId="59" xfId="0" applyFont="1" applyBorder="1" applyAlignment="1"/>
    <xf numFmtId="0" fontId="4" fillId="0" borderId="9" xfId="0" applyFont="1" applyBorder="1" applyAlignment="1">
      <alignment horizontal="center"/>
    </xf>
    <xf numFmtId="0" fontId="4" fillId="0" borderId="58" xfId="0" applyFont="1" applyBorder="1" applyAlignment="1"/>
    <xf numFmtId="0" fontId="4" fillId="0" borderId="16" xfId="0" applyFont="1" applyBorder="1" applyAlignment="1"/>
    <xf numFmtId="0" fontId="4" fillId="0" borderId="11" xfId="0" applyFont="1" applyBorder="1" applyAlignment="1"/>
    <xf numFmtId="0" fontId="4" fillId="0" borderId="122" xfId="0" applyFont="1" applyBorder="1" applyAlignment="1"/>
    <xf numFmtId="0" fontId="4" fillId="0" borderId="6" xfId="0" applyFont="1" applyBorder="1" applyAlignment="1"/>
    <xf numFmtId="0" fontId="4" fillId="0" borderId="116" xfId="0" applyFont="1" applyBorder="1" applyAlignment="1"/>
    <xf numFmtId="0" fontId="4" fillId="0" borderId="0" xfId="0" applyFont="1" applyAlignment="1">
      <alignment horizontal="center" vertical="center" wrapText="1"/>
    </xf>
    <xf numFmtId="0" fontId="4" fillId="0" borderId="58" xfId="0" applyFont="1" applyBorder="1">
      <alignment vertical="center"/>
    </xf>
    <xf numFmtId="0" fontId="4" fillId="0" borderId="9" xfId="0" applyFont="1" applyBorder="1">
      <alignment vertical="center"/>
    </xf>
    <xf numFmtId="0" fontId="4" fillId="0" borderId="126" xfId="0" applyFont="1" applyBorder="1" applyAlignment="1"/>
    <xf numFmtId="0" fontId="4" fillId="0" borderId="44" xfId="0" applyFont="1" applyBorder="1" applyAlignment="1"/>
    <xf numFmtId="0" fontId="4" fillId="0" borderId="42" xfId="0" applyFont="1" applyBorder="1" applyAlignment="1"/>
    <xf numFmtId="0" fontId="4" fillId="0" borderId="0" xfId="0" applyFont="1" applyAlignment="1">
      <alignment vertical="center" shrinkToFit="1"/>
    </xf>
    <xf numFmtId="0" fontId="4" fillId="0" borderId="76" xfId="0" applyFont="1" applyBorder="1" applyAlignment="1"/>
    <xf numFmtId="0" fontId="19" fillId="0" borderId="0" xfId="0" applyFont="1" applyAlignment="1">
      <alignment horizontal="lef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protection locked="0"/>
    </xf>
    <xf numFmtId="0" fontId="4" fillId="0" borderId="0" xfId="0" applyFont="1" applyAlignment="1" applyProtection="1">
      <alignment horizontal="center" vertical="center" wrapText="1"/>
      <protection locked="0"/>
    </xf>
    <xf numFmtId="0" fontId="0" fillId="0" borderId="0" xfId="0" applyAlignment="1" applyProtection="1">
      <protection locked="0"/>
    </xf>
    <xf numFmtId="0" fontId="5" fillId="0" borderId="76" xfId="0" applyFont="1" applyBorder="1">
      <alignment vertical="center"/>
    </xf>
    <xf numFmtId="0" fontId="0" fillId="0" borderId="6" xfId="0" applyBorder="1" applyAlignment="1"/>
    <xf numFmtId="0" fontId="0" fillId="0" borderId="95" xfId="0" applyBorder="1" applyAlignment="1"/>
    <xf numFmtId="0" fontId="5" fillId="0" borderId="95" xfId="0" applyFont="1" applyBorder="1">
      <alignment vertical="center"/>
    </xf>
    <xf numFmtId="0" fontId="5" fillId="0" borderId="7" xfId="0" applyFont="1" applyBorder="1">
      <alignment vertical="center"/>
    </xf>
    <xf numFmtId="0" fontId="5" fillId="0" borderId="9" xfId="0" applyFont="1" applyBorder="1">
      <alignment vertical="center"/>
    </xf>
    <xf numFmtId="208" fontId="5" fillId="0" borderId="78" xfId="0" applyNumberFormat="1" applyFont="1" applyBorder="1" applyAlignment="1">
      <alignment horizontal="right" vertical="center"/>
    </xf>
    <xf numFmtId="0" fontId="5" fillId="0" borderId="128" xfId="0" applyFont="1" applyBorder="1">
      <alignment vertical="center"/>
    </xf>
    <xf numFmtId="0" fontId="0" fillId="0" borderId="130" xfId="0" applyBorder="1" applyAlignment="1"/>
    <xf numFmtId="0" fontId="5" fillId="0" borderId="130" xfId="0" applyFont="1" applyBorder="1">
      <alignment vertical="center"/>
    </xf>
    <xf numFmtId="0" fontId="5" fillId="0" borderId="0" xfId="0" applyFont="1" applyAlignment="1">
      <alignment horizontal="left" vertical="center"/>
    </xf>
    <xf numFmtId="0" fontId="4" fillId="0" borderId="0" xfId="0" applyFont="1" applyAlignment="1">
      <alignment vertical="center" wrapText="1"/>
    </xf>
    <xf numFmtId="200" fontId="4" fillId="0" borderId="0" xfId="0" applyNumberFormat="1" applyFont="1">
      <alignment vertical="center"/>
    </xf>
    <xf numFmtId="0" fontId="19" fillId="0" borderId="9" xfId="0" applyFont="1" applyBorder="1" applyAlignment="1">
      <alignment horizontal="left"/>
    </xf>
    <xf numFmtId="0" fontId="29" fillId="0" borderId="9" xfId="0" applyFont="1" applyBorder="1" applyAlignment="1"/>
    <xf numFmtId="0" fontId="20" fillId="0" borderId="9" xfId="0" applyFont="1" applyBorder="1" applyAlignment="1"/>
    <xf numFmtId="0" fontId="20" fillId="0" borderId="0" xfId="0" applyFont="1" applyAlignment="1"/>
    <xf numFmtId="0" fontId="20" fillId="0" borderId="0" xfId="0" applyFont="1">
      <alignment vertical="center"/>
    </xf>
    <xf numFmtId="0" fontId="20" fillId="0" borderId="0" xfId="0" applyFont="1" applyAlignment="1">
      <alignment horizontal="right" vertical="center"/>
    </xf>
    <xf numFmtId="186" fontId="4" fillId="0" borderId="0" xfId="0" applyNumberFormat="1" applyFont="1" applyAlignment="1">
      <alignment horizontal="right" vertical="center"/>
    </xf>
    <xf numFmtId="186" fontId="4" fillId="0" borderId="0" xfId="0" applyNumberFormat="1" applyFont="1">
      <alignment vertical="center"/>
    </xf>
    <xf numFmtId="3" fontId="56" fillId="0" borderId="0" xfId="0" applyNumberFormat="1" applyFont="1">
      <alignment vertical="center"/>
    </xf>
    <xf numFmtId="192" fontId="4" fillId="0" borderId="0" xfId="0" applyNumberFormat="1" applyFont="1">
      <alignment vertical="center"/>
    </xf>
    <xf numFmtId="187" fontId="4" fillId="0" borderId="0" xfId="0" applyNumberFormat="1" applyFont="1" applyAlignment="1">
      <alignment horizontal="center" vertical="center"/>
    </xf>
    <xf numFmtId="3" fontId="22" fillId="0" borderId="0" xfId="0" applyNumberFormat="1" applyFont="1">
      <alignment vertical="center"/>
    </xf>
    <xf numFmtId="201" fontId="3" fillId="0" borderId="0" xfId="0" applyNumberFormat="1" applyFont="1" applyAlignment="1">
      <alignment horizontal="center"/>
    </xf>
    <xf numFmtId="186" fontId="4" fillId="0" borderId="0" xfId="0" applyNumberFormat="1" applyFont="1" applyAlignment="1">
      <alignment horizontal="left" vertical="center"/>
    </xf>
    <xf numFmtId="3" fontId="4" fillId="0" borderId="0" xfId="0" applyNumberFormat="1" applyFont="1">
      <alignment vertical="center"/>
    </xf>
    <xf numFmtId="192" fontId="22" fillId="0" borderId="0" xfId="0" applyNumberFormat="1" applyFont="1">
      <alignment vertical="center"/>
    </xf>
    <xf numFmtId="185" fontId="4" fillId="0" borderId="0" xfId="0" applyNumberFormat="1" applyFont="1">
      <alignment vertical="center"/>
    </xf>
    <xf numFmtId="0" fontId="20" fillId="0" borderId="0" xfId="0" applyFont="1" applyAlignment="1">
      <alignment horizontal="center" vertical="center"/>
    </xf>
    <xf numFmtId="190" fontId="4" fillId="0" borderId="0" xfId="0" applyNumberFormat="1" applyFont="1">
      <alignment vertical="center"/>
    </xf>
    <xf numFmtId="186" fontId="22" fillId="0" borderId="0" xfId="0" applyNumberFormat="1" applyFont="1">
      <alignment vertical="center"/>
    </xf>
    <xf numFmtId="0" fontId="5" fillId="0" borderId="0" xfId="0" applyFont="1" applyAlignment="1">
      <alignment horizontal="right" vertical="center"/>
    </xf>
    <xf numFmtId="186" fontId="0" fillId="0" borderId="0" xfId="0" applyNumberFormat="1" applyAlignment="1"/>
    <xf numFmtId="178" fontId="3" fillId="0" borderId="3" xfId="0" applyNumberFormat="1" applyFont="1" applyBorder="1" applyAlignment="1">
      <alignment horizontal="right" vertical="center"/>
    </xf>
    <xf numFmtId="0" fontId="4" fillId="0" borderId="0" xfId="0" applyFont="1" applyAlignment="1">
      <alignment horizontal="center" vertical="center" shrinkToFit="1"/>
    </xf>
    <xf numFmtId="38" fontId="4" fillId="0" borderId="0" xfId="3" applyFont="1" applyBorder="1">
      <alignment vertical="center"/>
    </xf>
    <xf numFmtId="186" fontId="0" fillId="0" borderId="0" xfId="0" applyNumberFormat="1">
      <alignment vertical="center"/>
    </xf>
    <xf numFmtId="10" fontId="4" fillId="0" borderId="0" xfId="0" applyNumberFormat="1" applyFont="1">
      <alignment vertical="center"/>
    </xf>
    <xf numFmtId="10" fontId="0" fillId="0" borderId="0" xfId="0" applyNumberFormat="1">
      <alignment vertical="center"/>
    </xf>
    <xf numFmtId="38" fontId="4" fillId="0" borderId="0" xfId="0" applyNumberFormat="1" applyFont="1">
      <alignment vertical="center"/>
    </xf>
    <xf numFmtId="0" fontId="3" fillId="0" borderId="0" xfId="0" applyFont="1" applyAlignment="1">
      <alignment horizontal="center" vertical="center" textRotation="255"/>
    </xf>
    <xf numFmtId="38" fontId="3" fillId="0" borderId="0" xfId="3" applyFont="1" applyBorder="1">
      <alignment vertical="center"/>
    </xf>
    <xf numFmtId="38" fontId="3" fillId="0" borderId="0" xfId="3" applyFont="1" applyFill="1" applyBorder="1">
      <alignment vertical="center"/>
    </xf>
    <xf numFmtId="0" fontId="4" fillId="3" borderId="0" xfId="0" applyFont="1" applyFill="1" applyAlignment="1">
      <alignment horizontal="center" vertical="center" shrinkToFit="1"/>
    </xf>
    <xf numFmtId="186" fontId="4" fillId="3" borderId="0" xfId="0" applyNumberFormat="1" applyFont="1" applyFill="1">
      <alignment vertical="center"/>
    </xf>
    <xf numFmtId="38" fontId="4" fillId="3" borderId="0" xfId="3" applyFont="1" applyFill="1" applyBorder="1">
      <alignment vertical="center"/>
    </xf>
    <xf numFmtId="179" fontId="4" fillId="3" borderId="0" xfId="0" applyNumberFormat="1" applyFont="1" applyFill="1">
      <alignment vertical="center"/>
    </xf>
    <xf numFmtId="0" fontId="4" fillId="10" borderId="0" xfId="0" applyFont="1" applyFill="1" applyAlignment="1">
      <alignment horizontal="center" vertical="center" shrinkToFit="1"/>
    </xf>
    <xf numFmtId="186" fontId="4" fillId="10" borderId="0" xfId="0" applyNumberFormat="1" applyFont="1" applyFill="1">
      <alignment vertical="center"/>
    </xf>
    <xf numFmtId="38" fontId="4" fillId="10" borderId="0" xfId="3" applyFont="1" applyFill="1" applyBorder="1">
      <alignment vertical="center"/>
    </xf>
    <xf numFmtId="179" fontId="4" fillId="10" borderId="0" xfId="0" applyNumberFormat="1" applyFont="1" applyFill="1">
      <alignment vertical="center"/>
    </xf>
    <xf numFmtId="0" fontId="4" fillId="15" borderId="0" xfId="0" applyFont="1" applyFill="1" applyAlignment="1">
      <alignment horizontal="center" vertical="center" shrinkToFit="1"/>
    </xf>
    <xf numFmtId="186" fontId="4" fillId="15" borderId="0" xfId="0" applyNumberFormat="1" applyFont="1" applyFill="1">
      <alignment vertical="center"/>
    </xf>
    <xf numFmtId="38" fontId="4" fillId="15" borderId="0" xfId="3" applyFont="1" applyFill="1" applyBorder="1">
      <alignment vertical="center"/>
    </xf>
    <xf numFmtId="10" fontId="4" fillId="15" borderId="0" xfId="0" applyNumberFormat="1" applyFont="1" applyFill="1">
      <alignment vertical="center"/>
    </xf>
    <xf numFmtId="38" fontId="0" fillId="0" borderId="0" xfId="0" applyNumberFormat="1" applyAlignment="1">
      <alignment horizontal="center" vertical="center"/>
    </xf>
    <xf numFmtId="0" fontId="0" fillId="14" borderId="0" xfId="0" applyFill="1" applyAlignment="1">
      <alignment horizontal="center" vertical="center"/>
    </xf>
    <xf numFmtId="0" fontId="0" fillId="19" borderId="55" xfId="0" applyFill="1" applyBorder="1">
      <alignment vertical="center"/>
    </xf>
    <xf numFmtId="0" fontId="0" fillId="19" borderId="143" xfId="0" applyFill="1" applyBorder="1">
      <alignment vertical="center"/>
    </xf>
    <xf numFmtId="0" fontId="0" fillId="19" borderId="43" xfId="0" applyFill="1" applyBorder="1">
      <alignment vertical="center"/>
    </xf>
    <xf numFmtId="0" fontId="0" fillId="19" borderId="43" xfId="0" applyFill="1" applyBorder="1" applyAlignment="1">
      <alignment vertical="top" wrapText="1"/>
    </xf>
    <xf numFmtId="183" fontId="3" fillId="0" borderId="63" xfId="0" applyNumberFormat="1" applyFont="1" applyBorder="1">
      <alignment vertical="center"/>
    </xf>
    <xf numFmtId="184" fontId="3" fillId="0" borderId="69" xfId="3" applyNumberFormat="1" applyFont="1" applyBorder="1">
      <alignment vertical="center"/>
    </xf>
    <xf numFmtId="183" fontId="3" fillId="0" borderId="69" xfId="0" applyNumberFormat="1" applyFont="1" applyBorder="1">
      <alignment vertical="center"/>
    </xf>
    <xf numFmtId="184" fontId="3" fillId="0" borderId="3" xfId="3" applyNumberFormat="1" applyFont="1" applyBorder="1">
      <alignment vertical="center"/>
    </xf>
    <xf numFmtId="202" fontId="3" fillId="0" borderId="63" xfId="3" applyNumberFormat="1" applyFont="1" applyBorder="1">
      <alignment vertical="center"/>
    </xf>
    <xf numFmtId="203" fontId="3" fillId="0" borderId="73" xfId="3" applyNumberFormat="1" applyFont="1" applyBorder="1">
      <alignment vertical="center"/>
    </xf>
    <xf numFmtId="204" fontId="3" fillId="0" borderId="73" xfId="0" applyNumberFormat="1" applyFont="1" applyBorder="1">
      <alignment vertical="center"/>
    </xf>
    <xf numFmtId="38" fontId="6" fillId="0" borderId="0" xfId="3" applyFont="1" applyBorder="1">
      <alignment vertical="center"/>
    </xf>
    <xf numFmtId="0" fontId="6" fillId="0" borderId="0" xfId="0" applyFont="1">
      <alignment vertical="center"/>
    </xf>
    <xf numFmtId="178" fontId="6" fillId="0" borderId="0" xfId="0" applyNumberFormat="1" applyFont="1" applyAlignment="1">
      <alignment horizontal="left" vertical="center"/>
    </xf>
    <xf numFmtId="178" fontId="6" fillId="0" borderId="0" xfId="0" applyNumberFormat="1" applyFont="1" applyAlignment="1">
      <alignment horizontal="right" vertical="center"/>
    </xf>
    <xf numFmtId="0" fontId="6" fillId="0" borderId="0" xfId="0" applyFont="1" applyAlignment="1">
      <alignment horizontal="center" vertical="center"/>
    </xf>
    <xf numFmtId="178" fontId="6" fillId="0" borderId="0" xfId="3" applyNumberFormat="1" applyFont="1" applyBorder="1" applyAlignment="1">
      <alignment horizontal="center" vertical="center"/>
    </xf>
    <xf numFmtId="0" fontId="6" fillId="0" borderId="9" xfId="0" applyFont="1" applyBorder="1">
      <alignment vertical="center"/>
    </xf>
    <xf numFmtId="178" fontId="6" fillId="0" borderId="9" xfId="0" applyNumberFormat="1" applyFont="1" applyBorder="1" applyAlignment="1">
      <alignment horizontal="right" vertical="center"/>
    </xf>
    <xf numFmtId="0" fontId="6" fillId="0" borderId="9" xfId="0" applyFont="1" applyBorder="1" applyAlignment="1">
      <alignment horizontal="center" vertical="center"/>
    </xf>
    <xf numFmtId="178" fontId="6" fillId="0" borderId="9" xfId="3" applyNumberFormat="1" applyFont="1" applyBorder="1" applyAlignment="1">
      <alignment horizontal="center" vertical="center"/>
    </xf>
    <xf numFmtId="38" fontId="6" fillId="0" borderId="9" xfId="3" applyFont="1" applyBorder="1">
      <alignment vertical="center"/>
    </xf>
    <xf numFmtId="38" fontId="6" fillId="0" borderId="58" xfId="3" applyFont="1" applyBorder="1">
      <alignment vertical="center"/>
    </xf>
    <xf numFmtId="0" fontId="4" fillId="0" borderId="0" xfId="0" applyFont="1" applyAlignment="1">
      <alignment horizontal="right" vertical="center"/>
    </xf>
    <xf numFmtId="0" fontId="0" fillId="26" borderId="0" xfId="0" applyFill="1" applyAlignment="1">
      <alignment horizontal="center" vertical="center"/>
    </xf>
    <xf numFmtId="194" fontId="0" fillId="0" borderId="0" xfId="0" applyNumberFormat="1" applyAlignment="1">
      <alignment horizontal="center" vertical="center"/>
    </xf>
    <xf numFmtId="9" fontId="0" fillId="0" borderId="0" xfId="1" applyFont="1" applyBorder="1" applyAlignment="1">
      <alignment horizontal="center" vertical="center"/>
    </xf>
    <xf numFmtId="0" fontId="5" fillId="14" borderId="0" xfId="0" applyFont="1" applyFill="1" applyAlignment="1">
      <alignment horizontal="center" vertical="center"/>
    </xf>
    <xf numFmtId="0" fontId="0" fillId="14" borderId="0" xfId="0" applyFill="1">
      <alignment vertical="center"/>
    </xf>
    <xf numFmtId="0" fontId="5" fillId="0" borderId="0" xfId="0" applyFont="1" applyAlignment="1"/>
    <xf numFmtId="0" fontId="0" fillId="13" borderId="0" xfId="0" applyFill="1">
      <alignment vertical="center"/>
    </xf>
    <xf numFmtId="0" fontId="0" fillId="13" borderId="0" xfId="0" applyFill="1" applyAlignment="1">
      <alignment horizontal="center" vertical="center"/>
    </xf>
    <xf numFmtId="185" fontId="4" fillId="0" borderId="0" xfId="0" applyNumberFormat="1" applyFont="1" applyAlignment="1">
      <alignment horizontal="center" vertical="center"/>
    </xf>
    <xf numFmtId="38" fontId="4" fillId="0" borderId="0" xfId="0" applyNumberFormat="1" applyFont="1" applyAlignment="1">
      <alignment horizontal="center" vertical="center"/>
    </xf>
    <xf numFmtId="179" fontId="4" fillId="0" borderId="0" xfId="1" applyNumberFormat="1" applyFont="1" applyFill="1" applyBorder="1" applyAlignment="1">
      <alignment horizontal="center" vertical="center"/>
    </xf>
    <xf numFmtId="205" fontId="3" fillId="0" borderId="0" xfId="0" applyNumberFormat="1" applyFont="1">
      <alignment vertical="center"/>
    </xf>
    <xf numFmtId="177" fontId="40" fillId="0" borderId="63" xfId="0" applyNumberFormat="1" applyFont="1" applyBorder="1">
      <alignment vertical="center"/>
    </xf>
    <xf numFmtId="178" fontId="40" fillId="0" borderId="63" xfId="3" applyNumberFormat="1" applyFont="1" applyBorder="1">
      <alignment vertical="center"/>
    </xf>
    <xf numFmtId="10" fontId="40" fillId="0" borderId="66" xfId="1" applyNumberFormat="1" applyFont="1" applyBorder="1">
      <alignment vertical="center"/>
    </xf>
    <xf numFmtId="178" fontId="40" fillId="0" borderId="66" xfId="3" applyNumberFormat="1" applyFont="1" applyBorder="1">
      <alignment vertical="center"/>
    </xf>
    <xf numFmtId="181" fontId="40" fillId="0" borderId="66" xfId="3" applyNumberFormat="1" applyFont="1" applyBorder="1">
      <alignment vertical="center"/>
    </xf>
    <xf numFmtId="9" fontId="57" fillId="0" borderId="69" xfId="0" applyNumberFormat="1" applyFont="1" applyBorder="1">
      <alignment vertical="center"/>
    </xf>
    <xf numFmtId="9" fontId="40" fillId="0" borderId="69" xfId="0" applyNumberFormat="1" applyFont="1" applyBorder="1">
      <alignment vertical="center"/>
    </xf>
    <xf numFmtId="178" fontId="3" fillId="15" borderId="66" xfId="0" applyNumberFormat="1" applyFont="1" applyFill="1" applyBorder="1" applyAlignment="1">
      <alignment horizontal="right" vertical="center"/>
    </xf>
    <xf numFmtId="38" fontId="3" fillId="0" borderId="1" xfId="3" applyFont="1" applyFill="1" applyBorder="1">
      <alignment vertical="center"/>
    </xf>
    <xf numFmtId="0" fontId="3" fillId="0" borderId="1" xfId="0" applyFont="1" applyBorder="1">
      <alignment vertical="center"/>
    </xf>
    <xf numFmtId="178" fontId="3" fillId="0" borderId="1" xfId="3" applyNumberFormat="1" applyFont="1" applyFill="1" applyBorder="1">
      <alignment vertical="center"/>
    </xf>
    <xf numFmtId="9" fontId="3" fillId="0" borderId="83" xfId="3" applyNumberFormat="1" applyFont="1" applyFill="1" applyBorder="1">
      <alignment vertical="center"/>
    </xf>
    <xf numFmtId="176" fontId="3" fillId="0" borderId="72" xfId="3" applyNumberFormat="1" applyFont="1" applyFill="1" applyBorder="1">
      <alignment vertical="center"/>
    </xf>
    <xf numFmtId="177" fontId="3" fillId="0" borderId="1" xfId="3" applyNumberFormat="1" applyFont="1" applyFill="1" applyBorder="1">
      <alignment vertical="center"/>
    </xf>
    <xf numFmtId="178" fontId="3" fillId="0" borderId="4" xfId="0" applyNumberFormat="1" applyFont="1" applyBorder="1">
      <alignment vertical="center"/>
    </xf>
    <xf numFmtId="38" fontId="3" fillId="0" borderId="60" xfId="3" applyFont="1" applyFill="1" applyBorder="1">
      <alignment vertical="center"/>
    </xf>
    <xf numFmtId="0" fontId="3" fillId="0" borderId="60" xfId="0" applyFont="1" applyBorder="1">
      <alignment vertical="center"/>
    </xf>
    <xf numFmtId="178" fontId="3" fillId="0" borderId="60" xfId="3" applyNumberFormat="1" applyFont="1" applyFill="1" applyBorder="1">
      <alignment vertical="center"/>
    </xf>
    <xf numFmtId="0" fontId="3" fillId="0" borderId="61" xfId="0" applyFont="1" applyBorder="1">
      <alignment vertical="center"/>
    </xf>
    <xf numFmtId="178" fontId="3" fillId="0" borderId="60" xfId="0" applyNumberFormat="1" applyFont="1" applyBorder="1" applyAlignment="1">
      <alignment horizontal="right" vertical="center"/>
    </xf>
    <xf numFmtId="178" fontId="3" fillId="0" borderId="61" xfId="0" applyNumberFormat="1" applyFont="1" applyBorder="1" applyAlignment="1">
      <alignment horizontal="right" vertical="center"/>
    </xf>
    <xf numFmtId="176" fontId="3" fillId="0" borderId="62" xfId="3" applyNumberFormat="1" applyFont="1" applyFill="1" applyBorder="1">
      <alignment vertical="center"/>
    </xf>
    <xf numFmtId="177" fontId="3" fillId="0" borderId="60" xfId="3" applyNumberFormat="1" applyFont="1" applyFill="1" applyBorder="1">
      <alignment vertical="center"/>
    </xf>
    <xf numFmtId="9" fontId="3" fillId="0" borderId="102" xfId="3" applyNumberFormat="1" applyFont="1" applyFill="1" applyBorder="1">
      <alignment vertical="center"/>
    </xf>
    <xf numFmtId="9" fontId="3" fillId="0" borderId="60" xfId="1" applyFont="1" applyFill="1" applyBorder="1">
      <alignment vertical="center"/>
    </xf>
    <xf numFmtId="178" fontId="3" fillId="0" borderId="62" xfId="3" applyNumberFormat="1" applyFont="1" applyFill="1" applyBorder="1">
      <alignment vertical="center"/>
    </xf>
    <xf numFmtId="9" fontId="57" fillId="0" borderId="63" xfId="3" applyNumberFormat="1" applyFont="1" applyBorder="1">
      <alignment vertical="center"/>
    </xf>
    <xf numFmtId="9" fontId="57" fillId="0" borderId="66" xfId="3" applyNumberFormat="1" applyFont="1" applyBorder="1">
      <alignment vertical="center"/>
    </xf>
    <xf numFmtId="9" fontId="57" fillId="0" borderId="69" xfId="3" applyNumberFormat="1" applyFont="1" applyBorder="1">
      <alignment vertical="center"/>
    </xf>
    <xf numFmtId="9" fontId="57" fillId="2" borderId="1" xfId="3" applyNumberFormat="1" applyFont="1" applyFill="1" applyBorder="1">
      <alignment vertical="center"/>
    </xf>
    <xf numFmtId="9" fontId="57" fillId="0" borderId="73" xfId="3" applyNumberFormat="1" applyFont="1" applyBorder="1">
      <alignment vertical="center"/>
    </xf>
    <xf numFmtId="0" fontId="58" fillId="0" borderId="60" xfId="0" applyFont="1" applyBorder="1" applyAlignment="1">
      <alignment horizontal="center" vertical="center"/>
    </xf>
    <xf numFmtId="0" fontId="13" fillId="0" borderId="61" xfId="0" applyFont="1" applyBorder="1">
      <alignment vertical="center"/>
    </xf>
    <xf numFmtId="38" fontId="3" fillId="0" borderId="2" xfId="3" applyFont="1" applyFill="1" applyBorder="1">
      <alignment vertical="center"/>
    </xf>
    <xf numFmtId="0" fontId="3" fillId="0" borderId="2" xfId="0" applyFont="1" applyBorder="1">
      <alignment vertical="center"/>
    </xf>
    <xf numFmtId="178" fontId="3" fillId="0" borderId="2" xfId="3" applyNumberFormat="1" applyFont="1" applyFill="1" applyBorder="1">
      <alignment vertical="center"/>
    </xf>
    <xf numFmtId="176" fontId="3" fillId="0" borderId="122" xfId="3" applyNumberFormat="1" applyFont="1" applyFill="1" applyBorder="1">
      <alignment vertical="center"/>
    </xf>
    <xf numFmtId="9" fontId="3" fillId="0" borderId="90" xfId="3" applyNumberFormat="1" applyFont="1" applyFill="1" applyBorder="1">
      <alignment vertical="center"/>
    </xf>
    <xf numFmtId="178" fontId="0" fillId="0" borderId="45" xfId="0" applyNumberFormat="1" applyBorder="1">
      <alignment vertical="center"/>
    </xf>
    <xf numFmtId="179" fontId="0" fillId="0" borderId="45" xfId="1" applyNumberFormat="1" applyFont="1" applyBorder="1">
      <alignment vertical="center"/>
    </xf>
    <xf numFmtId="191" fontId="0" fillId="0" borderId="45" xfId="0" applyNumberFormat="1" applyBorder="1">
      <alignment vertical="center"/>
    </xf>
    <xf numFmtId="9" fontId="0" fillId="0" borderId="45" xfId="0" applyNumberFormat="1" applyBorder="1">
      <alignment vertical="center"/>
    </xf>
    <xf numFmtId="0" fontId="32" fillId="0" borderId="0" xfId="0" applyFont="1">
      <alignment vertical="center"/>
    </xf>
    <xf numFmtId="197" fontId="0" fillId="0" borderId="1" xfId="0" applyNumberFormat="1" applyBorder="1">
      <alignment vertical="center"/>
    </xf>
    <xf numFmtId="176" fontId="57" fillId="0" borderId="66" xfId="3" applyNumberFormat="1" applyFont="1" applyBorder="1">
      <alignment vertical="center"/>
    </xf>
    <xf numFmtId="178" fontId="57" fillId="0" borderId="2" xfId="3" applyNumberFormat="1" applyFont="1" applyFill="1" applyBorder="1">
      <alignment vertical="center"/>
    </xf>
    <xf numFmtId="178" fontId="57" fillId="0" borderId="60" xfId="3" applyNumberFormat="1" applyFont="1" applyFill="1" applyBorder="1">
      <alignment vertical="center"/>
    </xf>
    <xf numFmtId="178" fontId="57" fillId="0" borderId="1" xfId="3" applyNumberFormat="1" applyFont="1" applyFill="1" applyBorder="1">
      <alignment vertical="center"/>
    </xf>
    <xf numFmtId="0" fontId="57" fillId="0" borderId="0" xfId="0" applyFont="1">
      <alignment vertical="center"/>
    </xf>
    <xf numFmtId="179" fontId="35" fillId="11" borderId="1" xfId="1" applyNumberFormat="1" applyFont="1" applyFill="1" applyBorder="1">
      <alignment vertical="center"/>
    </xf>
    <xf numFmtId="183" fontId="57" fillId="0" borderId="73" xfId="0" applyNumberFormat="1" applyFont="1" applyBorder="1">
      <alignment vertical="center"/>
    </xf>
    <xf numFmtId="183" fontId="57" fillId="0" borderId="66" xfId="0" applyNumberFormat="1" applyFont="1" applyBorder="1">
      <alignment vertical="center"/>
    </xf>
    <xf numFmtId="183" fontId="57" fillId="0" borderId="69" xfId="0" applyNumberFormat="1" applyFont="1" applyBorder="1">
      <alignment vertical="center"/>
    </xf>
    <xf numFmtId="204" fontId="57" fillId="0" borderId="73" xfId="0" applyNumberFormat="1" applyFont="1" applyBorder="1">
      <alignment vertical="center"/>
    </xf>
    <xf numFmtId="197" fontId="51" fillId="0" borderId="1" xfId="0" applyNumberFormat="1" applyFont="1" applyBorder="1">
      <alignment vertical="center"/>
    </xf>
    <xf numFmtId="191" fontId="0" fillId="14" borderId="45" xfId="0" applyNumberFormat="1" applyFill="1" applyBorder="1">
      <alignment vertical="center"/>
    </xf>
    <xf numFmtId="179" fontId="0" fillId="0" borderId="0" xfId="1" applyNumberFormat="1" applyFont="1">
      <alignment vertical="center"/>
    </xf>
    <xf numFmtId="38" fontId="59" fillId="3" borderId="26" xfId="3" applyFont="1" applyFill="1" applyBorder="1">
      <alignment vertical="center"/>
    </xf>
    <xf numFmtId="0" fontId="59" fillId="10" borderId="31" xfId="0" applyFont="1" applyFill="1" applyBorder="1">
      <alignment vertical="center"/>
    </xf>
    <xf numFmtId="0" fontId="59" fillId="15" borderId="31" xfId="0" applyFont="1" applyFill="1" applyBorder="1">
      <alignment vertical="center"/>
    </xf>
    <xf numFmtId="0" fontId="38" fillId="0" borderId="0" xfId="0" applyFont="1">
      <alignment vertical="center"/>
    </xf>
    <xf numFmtId="0" fontId="44" fillId="0" borderId="0" xfId="0" applyFont="1">
      <alignment vertical="center"/>
    </xf>
    <xf numFmtId="0" fontId="60" fillId="0" borderId="0" xfId="0" applyFont="1" applyAlignment="1">
      <alignment horizontal="center" vertical="center"/>
    </xf>
    <xf numFmtId="212" fontId="0" fillId="0" borderId="0" xfId="0" applyNumberFormat="1">
      <alignment vertical="center"/>
    </xf>
    <xf numFmtId="178" fontId="3" fillId="0" borderId="85" xfId="0" applyNumberFormat="1" applyFont="1" applyBorder="1" applyAlignment="1">
      <alignment horizontal="right" vertical="center"/>
    </xf>
    <xf numFmtId="178" fontId="3" fillId="0" borderId="144" xfId="0" applyNumberFormat="1" applyFont="1" applyBorder="1" applyAlignment="1">
      <alignment horizontal="right" vertical="center"/>
    </xf>
    <xf numFmtId="9" fontId="3" fillId="0" borderId="66" xfId="1" applyFont="1" applyBorder="1">
      <alignment vertical="center"/>
    </xf>
    <xf numFmtId="191" fontId="3" fillId="0" borderId="84" xfId="3" applyNumberFormat="1" applyFont="1" applyBorder="1">
      <alignment vertical="center"/>
    </xf>
    <xf numFmtId="0" fontId="3" fillId="0" borderId="2" xfId="0" applyFont="1" applyBorder="1" applyAlignment="1">
      <alignment horizontal="center" vertical="center" textRotation="255" shrinkToFit="1"/>
    </xf>
    <xf numFmtId="0" fontId="7" fillId="19" borderId="0" xfId="0" applyFont="1" applyFill="1" applyAlignment="1">
      <alignment horizontal="left" vertical="center"/>
    </xf>
    <xf numFmtId="183" fontId="61" fillId="19" borderId="0" xfId="0" applyNumberFormat="1" applyFont="1" applyFill="1" applyAlignment="1">
      <alignment horizontal="center"/>
    </xf>
    <xf numFmtId="9" fontId="39" fillId="19" borderId="0" xfId="1" applyFont="1" applyFill="1" applyAlignment="1">
      <alignment horizontal="center"/>
    </xf>
    <xf numFmtId="0" fontId="39" fillId="19" borderId="0" xfId="0" applyFont="1" applyFill="1" applyAlignment="1">
      <alignment horizontal="center"/>
    </xf>
    <xf numFmtId="0" fontId="39" fillId="19" borderId="0" xfId="0" applyFont="1" applyFill="1" applyAlignment="1"/>
    <xf numFmtId="14" fontId="39" fillId="19" borderId="0" xfId="0" applyNumberFormat="1" applyFont="1" applyFill="1" applyAlignment="1">
      <alignment horizontal="center"/>
    </xf>
    <xf numFmtId="0" fontId="3" fillId="0" borderId="83" xfId="0" applyFont="1" applyBorder="1" applyAlignment="1">
      <alignment vertical="center" shrinkToFit="1"/>
    </xf>
    <xf numFmtId="0" fontId="3" fillId="0" borderId="58" xfId="0" applyFont="1" applyBorder="1" applyAlignment="1">
      <alignment horizontal="center" vertical="center"/>
    </xf>
    <xf numFmtId="178" fontId="3" fillId="0" borderId="198" xfId="0" applyNumberFormat="1" applyFont="1" applyBorder="1" applyAlignment="1">
      <alignment horizontal="righ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0" fillId="0" borderId="67" xfId="0" applyFont="1" applyBorder="1">
      <alignment vertical="center"/>
    </xf>
    <xf numFmtId="178" fontId="3" fillId="0" borderId="66" xfId="3" applyNumberFormat="1" applyFont="1" applyFill="1" applyBorder="1">
      <alignment vertical="center"/>
    </xf>
    <xf numFmtId="176" fontId="3" fillId="0" borderId="63" xfId="3" applyNumberFormat="1" applyFont="1" applyBorder="1" applyAlignment="1">
      <alignment horizontal="center" vertical="center"/>
    </xf>
    <xf numFmtId="177" fontId="3" fillId="0" borderId="63" xfId="0" applyNumberFormat="1" applyFont="1" applyBorder="1" applyAlignment="1">
      <alignment horizontal="center" vertical="center"/>
    </xf>
    <xf numFmtId="178" fontId="3" fillId="0" borderId="66" xfId="3" applyNumberFormat="1" applyFont="1" applyBorder="1" applyAlignment="1">
      <alignment horizontal="center" vertical="center"/>
    </xf>
    <xf numFmtId="10" fontId="3" fillId="0" borderId="66" xfId="1" applyNumberFormat="1" applyFont="1" applyBorder="1" applyAlignment="1">
      <alignment horizontal="center" vertical="center"/>
    </xf>
    <xf numFmtId="176" fontId="3" fillId="0" borderId="66" xfId="3" applyNumberFormat="1" applyFont="1" applyBorder="1" applyAlignment="1">
      <alignment horizontal="center" vertical="center"/>
    </xf>
    <xf numFmtId="177" fontId="3" fillId="0" borderId="66" xfId="0" applyNumberFormat="1" applyFont="1" applyBorder="1" applyAlignment="1">
      <alignment horizontal="center" vertical="center"/>
    </xf>
    <xf numFmtId="176" fontId="3" fillId="0" borderId="73" xfId="3" applyNumberFormat="1" applyFont="1" applyBorder="1" applyAlignment="1">
      <alignment horizontal="center" vertical="center"/>
    </xf>
    <xf numFmtId="177" fontId="3" fillId="0" borderId="73" xfId="0" applyNumberFormat="1" applyFont="1" applyBorder="1" applyAlignment="1">
      <alignment horizontal="center" vertical="center"/>
    </xf>
    <xf numFmtId="178" fontId="3" fillId="0" borderId="73" xfId="3" applyNumberFormat="1" applyFont="1" applyBorder="1" applyAlignment="1">
      <alignment horizontal="center" vertical="center"/>
    </xf>
    <xf numFmtId="9" fontId="3" fillId="0" borderId="73" xfId="1" applyFont="1" applyBorder="1" applyAlignment="1">
      <alignment horizontal="center" vertical="center"/>
    </xf>
    <xf numFmtId="177" fontId="3" fillId="0" borderId="3" xfId="0" applyNumberFormat="1" applyFont="1" applyBorder="1" applyAlignment="1">
      <alignment horizontal="center" vertical="center"/>
    </xf>
    <xf numFmtId="213" fontId="3" fillId="0" borderId="73" xfId="3" applyNumberFormat="1" applyFont="1" applyBorder="1">
      <alignment vertical="center"/>
    </xf>
    <xf numFmtId="213" fontId="3" fillId="0" borderId="66" xfId="3" applyNumberFormat="1" applyFont="1" applyBorder="1">
      <alignment vertical="center"/>
    </xf>
    <xf numFmtId="213" fontId="3" fillId="0" borderId="63" xfId="3" applyNumberFormat="1" applyFont="1" applyBorder="1">
      <alignment vertical="center"/>
    </xf>
    <xf numFmtId="0" fontId="2" fillId="0" borderId="2" xfId="0" applyFont="1" applyBorder="1" applyAlignment="1">
      <alignment horizontal="center" vertical="center"/>
    </xf>
    <xf numFmtId="0" fontId="3" fillId="0" borderId="59" xfId="0" applyFont="1" applyBorder="1" applyAlignment="1">
      <alignment horizontal="left" vertical="center"/>
    </xf>
    <xf numFmtId="0" fontId="3" fillId="13" borderId="79" xfId="0" applyFont="1" applyFill="1" applyBorder="1">
      <alignment vertical="center"/>
    </xf>
    <xf numFmtId="9" fontId="3" fillId="13" borderId="35" xfId="1" applyFont="1" applyFill="1" applyBorder="1">
      <alignment vertical="center"/>
    </xf>
    <xf numFmtId="178" fontId="3" fillId="13" borderId="166" xfId="0" applyNumberFormat="1" applyFont="1" applyFill="1" applyBorder="1">
      <alignment vertical="center"/>
    </xf>
    <xf numFmtId="0" fontId="25" fillId="19" borderId="2" xfId="0" applyFont="1" applyFill="1" applyBorder="1">
      <alignment vertical="center"/>
    </xf>
    <xf numFmtId="0" fontId="26" fillId="19" borderId="4" xfId="0" applyFont="1" applyFill="1" applyBorder="1" applyAlignment="1">
      <alignment horizontal="center" vertical="center"/>
    </xf>
    <xf numFmtId="0" fontId="5" fillId="0" borderId="111" xfId="0" applyFont="1" applyBorder="1" applyAlignment="1">
      <alignment horizontal="center" vertical="center"/>
    </xf>
    <xf numFmtId="178" fontId="5" fillId="0" borderId="4" xfId="0" applyNumberFormat="1" applyFont="1" applyBorder="1">
      <alignment vertical="center"/>
    </xf>
    <xf numFmtId="0" fontId="5" fillId="0" borderId="4" xfId="0" applyFont="1" applyBorder="1">
      <alignment vertical="center"/>
    </xf>
    <xf numFmtId="0" fontId="5" fillId="0" borderId="15" xfId="0" applyFont="1" applyBorder="1">
      <alignment vertical="center"/>
    </xf>
    <xf numFmtId="178" fontId="5" fillId="0" borderId="1" xfId="0" applyNumberFormat="1" applyFont="1" applyBorder="1">
      <alignment vertical="center"/>
    </xf>
    <xf numFmtId="0" fontId="5" fillId="0" borderId="1" xfId="0" applyFont="1" applyBorder="1">
      <alignment vertical="center"/>
    </xf>
    <xf numFmtId="0" fontId="5" fillId="0" borderId="38" xfId="0" applyFont="1" applyBorder="1">
      <alignment vertical="center"/>
    </xf>
    <xf numFmtId="178" fontId="5" fillId="0" borderId="2" xfId="0" applyNumberFormat="1" applyFont="1" applyBorder="1">
      <alignment vertical="center"/>
    </xf>
    <xf numFmtId="0" fontId="5" fillId="0" borderId="2" xfId="0" applyFont="1" applyBorder="1">
      <alignment vertical="center"/>
    </xf>
    <xf numFmtId="0" fontId="5" fillId="0" borderId="97" xfId="0" applyFont="1" applyBorder="1" applyAlignment="1">
      <alignment horizontal="center" vertical="center"/>
    </xf>
    <xf numFmtId="0" fontId="3" fillId="34" borderId="1" xfId="0" applyFont="1" applyFill="1" applyBorder="1">
      <alignment vertical="center"/>
    </xf>
    <xf numFmtId="38" fontId="3" fillId="34" borderId="1" xfId="3" applyFont="1" applyFill="1" applyBorder="1">
      <alignment vertical="center"/>
    </xf>
    <xf numFmtId="178" fontId="3" fillId="34" borderId="1" xfId="3" applyNumberFormat="1" applyFont="1" applyFill="1" applyBorder="1">
      <alignment vertical="center"/>
    </xf>
    <xf numFmtId="0" fontId="3" fillId="34" borderId="5" xfId="0" applyFont="1" applyFill="1" applyBorder="1">
      <alignment vertical="center"/>
    </xf>
    <xf numFmtId="178" fontId="3" fillId="34" borderId="1" xfId="0" applyNumberFormat="1" applyFont="1" applyFill="1" applyBorder="1" applyAlignment="1">
      <alignment horizontal="right" vertical="center"/>
    </xf>
    <xf numFmtId="178" fontId="3" fillId="34" borderId="5" xfId="0" applyNumberFormat="1" applyFont="1" applyFill="1" applyBorder="1" applyAlignment="1">
      <alignment horizontal="right" vertical="center"/>
    </xf>
    <xf numFmtId="178" fontId="3" fillId="34" borderId="72" xfId="3" applyNumberFormat="1" applyFont="1" applyFill="1" applyBorder="1">
      <alignment vertical="center"/>
    </xf>
    <xf numFmtId="13" fontId="3" fillId="34" borderId="1" xfId="3" applyNumberFormat="1" applyFont="1" applyFill="1" applyBorder="1">
      <alignment vertical="center"/>
    </xf>
    <xf numFmtId="202" fontId="3" fillId="34" borderId="1" xfId="3" applyNumberFormat="1" applyFont="1" applyFill="1" applyBorder="1">
      <alignment vertical="center"/>
    </xf>
    <xf numFmtId="0" fontId="3" fillId="34" borderId="5" xfId="0" applyFont="1" applyFill="1" applyBorder="1" applyAlignment="1">
      <alignment horizontal="left" vertical="center"/>
    </xf>
    <xf numFmtId="0" fontId="3" fillId="34" borderId="83" xfId="0" applyFont="1" applyFill="1" applyBorder="1" applyAlignment="1">
      <alignment horizontal="left" vertical="center"/>
    </xf>
    <xf numFmtId="178" fontId="3" fillId="34" borderId="1" xfId="0" applyNumberFormat="1" applyFont="1" applyFill="1" applyBorder="1">
      <alignment vertical="center"/>
    </xf>
    <xf numFmtId="179" fontId="3" fillId="34" borderId="1" xfId="1" applyNumberFormat="1" applyFont="1" applyFill="1" applyBorder="1">
      <alignment vertical="center"/>
    </xf>
    <xf numFmtId="0" fontId="3" fillId="34" borderId="83" xfId="0" applyFont="1" applyFill="1" applyBorder="1" applyAlignment="1">
      <alignment horizontal="center" vertical="center"/>
    </xf>
    <xf numFmtId="182" fontId="3" fillId="34" borderId="1" xfId="1" applyNumberFormat="1" applyFont="1" applyFill="1" applyBorder="1">
      <alignment vertical="center"/>
    </xf>
    <xf numFmtId="0" fontId="13" fillId="34" borderId="5" xfId="0" applyFont="1" applyFill="1" applyBorder="1">
      <alignment vertical="center"/>
    </xf>
    <xf numFmtId="0" fontId="3" fillId="34" borderId="61" xfId="0" applyFont="1" applyFill="1" applyBorder="1" applyAlignment="1">
      <alignment horizontal="left" vertical="center"/>
    </xf>
    <xf numFmtId="0" fontId="3" fillId="34" borderId="102" xfId="0" applyFont="1" applyFill="1" applyBorder="1" applyAlignment="1">
      <alignment horizontal="center" vertical="center"/>
    </xf>
    <xf numFmtId="178" fontId="3" fillId="34" borderId="2" xfId="0" applyNumberFormat="1" applyFont="1" applyFill="1" applyBorder="1">
      <alignment vertical="center"/>
    </xf>
    <xf numFmtId="179" fontId="3" fillId="34" borderId="2" xfId="1" applyNumberFormat="1" applyFont="1" applyFill="1" applyBorder="1">
      <alignment vertical="center"/>
    </xf>
    <xf numFmtId="178" fontId="3" fillId="34" borderId="76" xfId="0" applyNumberFormat="1" applyFont="1" applyFill="1" applyBorder="1">
      <alignment vertical="center"/>
    </xf>
    <xf numFmtId="178" fontId="3" fillId="34" borderId="2" xfId="0" applyNumberFormat="1" applyFont="1" applyFill="1" applyBorder="1" applyAlignment="1">
      <alignment horizontal="right" vertical="center"/>
    </xf>
    <xf numFmtId="178" fontId="3" fillId="34" borderId="76" xfId="0" applyNumberFormat="1" applyFont="1" applyFill="1" applyBorder="1" applyAlignment="1">
      <alignment horizontal="right" vertical="center"/>
    </xf>
    <xf numFmtId="0" fontId="3" fillId="34" borderId="76" xfId="0" applyFont="1" applyFill="1" applyBorder="1">
      <alignment vertical="center"/>
    </xf>
    <xf numFmtId="178" fontId="66" fillId="0" borderId="1" xfId="0" applyNumberFormat="1" applyFont="1" applyBorder="1">
      <alignment vertical="center"/>
    </xf>
    <xf numFmtId="178" fontId="3" fillId="0" borderId="2"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0" borderId="16" xfId="0" applyNumberFormat="1" applyFont="1" applyBorder="1" applyAlignment="1">
      <alignment horizontal="center" vertical="center"/>
    </xf>
    <xf numFmtId="178" fontId="3" fillId="0" borderId="9" xfId="0" applyNumberFormat="1" applyFont="1" applyBorder="1" applyAlignment="1">
      <alignment horizontal="center" vertical="center"/>
    </xf>
    <xf numFmtId="178" fontId="3" fillId="0" borderId="2" xfId="0" applyNumberFormat="1" applyFont="1" applyBorder="1" applyAlignment="1">
      <alignment horizontal="center" vertical="center"/>
    </xf>
    <xf numFmtId="178" fontId="3" fillId="0" borderId="63"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5" fillId="0" borderId="5" xfId="0" applyFont="1" applyBorder="1" applyAlignment="1">
      <alignment horizontal="center" vertical="center"/>
    </xf>
    <xf numFmtId="0" fontId="5" fillId="0" borderId="82" xfId="0" applyFont="1" applyBorder="1" applyAlignment="1">
      <alignment horizontal="center" vertical="center"/>
    </xf>
    <xf numFmtId="0" fontId="5" fillId="0" borderId="110" xfId="0" applyFont="1" applyBorder="1" applyAlignment="1">
      <alignment horizontal="center" vertical="center"/>
    </xf>
    <xf numFmtId="0" fontId="5" fillId="0" borderId="83" xfId="0" applyFont="1" applyBorder="1" applyAlignment="1">
      <alignment horizontal="center" vertical="center"/>
    </xf>
    <xf numFmtId="178" fontId="3" fillId="0" borderId="151" xfId="3" applyNumberFormat="1" applyFont="1" applyBorder="1" applyAlignment="1">
      <alignment horizontal="right" vertical="center"/>
    </xf>
    <xf numFmtId="178" fontId="3" fillId="0" borderId="88" xfId="3" applyNumberFormat="1" applyFont="1" applyBorder="1" applyAlignment="1">
      <alignment horizontal="right" vertical="center"/>
    </xf>
    <xf numFmtId="213" fontId="3" fillId="0" borderId="2" xfId="3" applyNumberFormat="1" applyFont="1" applyBorder="1" applyAlignment="1">
      <alignment horizontal="right" vertical="center"/>
    </xf>
    <xf numFmtId="213" fontId="3" fillId="0" borderId="4" xfId="3" applyNumberFormat="1" applyFont="1" applyBorder="1" applyAlignment="1">
      <alignment horizontal="right" vertical="center"/>
    </xf>
    <xf numFmtId="178" fontId="3" fillId="0" borderId="4" xfId="0" applyNumberFormat="1" applyFont="1" applyBorder="1" applyAlignment="1">
      <alignment horizontal="right" vertical="center"/>
    </xf>
    <xf numFmtId="178" fontId="3" fillId="0" borderId="2" xfId="0" applyNumberFormat="1" applyFont="1" applyBorder="1">
      <alignment vertical="center"/>
    </xf>
    <xf numFmtId="178" fontId="3" fillId="0" borderId="3" xfId="0" applyNumberFormat="1" applyFont="1" applyBorder="1">
      <alignment vertical="center"/>
    </xf>
    <xf numFmtId="178" fontId="3" fillId="0" borderId="4" xfId="0" applyNumberFormat="1" applyFont="1" applyBorder="1">
      <alignment vertical="center"/>
    </xf>
    <xf numFmtId="178" fontId="3" fillId="0" borderId="151" xfId="3" applyNumberFormat="1" applyFont="1" applyBorder="1" applyAlignment="1">
      <alignment vertical="center"/>
    </xf>
    <xf numFmtId="178" fontId="3" fillId="0" borderId="32" xfId="3" applyNumberFormat="1" applyFont="1" applyBorder="1" applyAlignment="1">
      <alignment vertical="center"/>
    </xf>
    <xf numFmtId="178" fontId="3" fillId="0" borderId="90" xfId="3" applyNumberFormat="1" applyFont="1" applyBorder="1" applyAlignment="1">
      <alignment vertical="center"/>
    </xf>
    <xf numFmtId="178" fontId="3" fillId="0" borderId="58" xfId="3" applyNumberFormat="1" applyFont="1" applyBorder="1" applyAlignment="1">
      <alignment vertical="center"/>
    </xf>
    <xf numFmtId="213" fontId="3" fillId="0" borderId="2" xfId="3" applyNumberFormat="1" applyFont="1" applyBorder="1" applyAlignment="1">
      <alignment vertical="center"/>
    </xf>
    <xf numFmtId="213" fontId="3" fillId="0" borderId="3" xfId="3" applyNumberFormat="1" applyFont="1" applyBorder="1" applyAlignment="1">
      <alignment vertical="center"/>
    </xf>
    <xf numFmtId="178" fontId="3" fillId="0" borderId="2" xfId="3" applyNumberFormat="1" applyFont="1" applyBorder="1" applyAlignment="1">
      <alignment vertical="center"/>
    </xf>
    <xf numFmtId="178" fontId="3" fillId="0" borderId="3" xfId="3" applyNumberFormat="1" applyFont="1" applyBorder="1" applyAlignment="1">
      <alignment vertical="center"/>
    </xf>
    <xf numFmtId="213" fontId="3" fillId="0" borderId="2" xfId="3" applyNumberFormat="1" applyFont="1" applyFill="1" applyBorder="1" applyAlignment="1">
      <alignment vertical="center"/>
    </xf>
    <xf numFmtId="213" fontId="3" fillId="0" borderId="4" xfId="3" applyNumberFormat="1" applyFont="1" applyFill="1" applyBorder="1" applyAlignment="1">
      <alignment vertical="center"/>
    </xf>
    <xf numFmtId="178" fontId="3" fillId="0" borderId="4" xfId="3" applyNumberFormat="1" applyFont="1" applyBorder="1" applyAlignment="1">
      <alignment vertical="center"/>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178" fontId="3" fillId="34" borderId="122" xfId="0" applyNumberFormat="1" applyFont="1" applyFill="1" applyBorder="1" applyAlignment="1">
      <alignment horizontal="center" vertical="center"/>
    </xf>
    <xf numFmtId="178" fontId="3" fillId="34" borderId="6" xfId="0" applyNumberFormat="1" applyFont="1" applyFill="1" applyBorder="1" applyAlignment="1">
      <alignment horizontal="center" vertical="center"/>
    </xf>
    <xf numFmtId="0" fontId="5" fillId="0" borderId="171" xfId="0" applyFont="1" applyBorder="1" applyAlignment="1">
      <alignment horizontal="center" vertical="center"/>
    </xf>
    <xf numFmtId="0" fontId="5" fillId="0" borderId="111" xfId="0" applyFont="1" applyBorder="1" applyAlignment="1">
      <alignment horizontal="center" vertical="center"/>
    </xf>
    <xf numFmtId="0" fontId="5" fillId="0" borderId="111" xfId="0" applyFont="1" applyBorder="1">
      <alignment vertical="center"/>
    </xf>
    <xf numFmtId="0" fontId="5" fillId="0" borderId="200"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lignment vertical="center"/>
    </xf>
    <xf numFmtId="0" fontId="5" fillId="0" borderId="20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19" xfId="0" applyFont="1" applyBorder="1" applyAlignment="1">
      <alignment horizontal="center" vertical="center"/>
    </xf>
    <xf numFmtId="0" fontId="5" fillId="0" borderId="59" xfId="0" applyFont="1" applyBorder="1">
      <alignment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178" fontId="3" fillId="0" borderId="2" xfId="3" applyNumberFormat="1" applyFont="1" applyBorder="1" applyAlignment="1">
      <alignment horizontal="right" vertical="center"/>
    </xf>
    <xf numFmtId="178" fontId="3" fillId="0" borderId="4" xfId="3" applyNumberFormat="1" applyFont="1" applyBorder="1" applyAlignment="1">
      <alignment horizontal="right" vertical="center"/>
    </xf>
    <xf numFmtId="213" fontId="3" fillId="0" borderId="2" xfId="3" applyNumberFormat="1" applyFont="1" applyFill="1" applyBorder="1" applyAlignment="1">
      <alignment horizontal="right" vertical="center"/>
    </xf>
    <xf numFmtId="213" fontId="3" fillId="0" borderId="63" xfId="3" applyNumberFormat="1" applyFont="1" applyFill="1" applyBorder="1" applyAlignment="1">
      <alignment horizontal="right" vertical="center"/>
    </xf>
    <xf numFmtId="178" fontId="3" fillId="0" borderId="2" xfId="3" applyNumberFormat="1" applyFont="1" applyFill="1" applyBorder="1" applyAlignment="1">
      <alignment horizontal="right" vertical="center"/>
    </xf>
    <xf numFmtId="178" fontId="3" fillId="0" borderId="3" xfId="3" applyNumberFormat="1" applyFont="1" applyFill="1" applyBorder="1" applyAlignment="1">
      <alignment horizontal="right" vertical="center"/>
    </xf>
    <xf numFmtId="178" fontId="3" fillId="34" borderId="87" xfId="0" applyNumberFormat="1" applyFont="1" applyFill="1" applyBorder="1" applyAlignment="1">
      <alignment horizontal="center" vertical="center"/>
    </xf>
    <xf numFmtId="178" fontId="3" fillId="34" borderId="82" xfId="0" applyNumberFormat="1" applyFont="1" applyFill="1" applyBorder="1" applyAlignment="1">
      <alignment horizontal="center" vertical="center"/>
    </xf>
    <xf numFmtId="178" fontId="3" fillId="0" borderId="151" xfId="3" applyNumberFormat="1" applyFont="1" applyFill="1" applyBorder="1" applyAlignment="1">
      <alignment horizontal="right" vertical="center"/>
    </xf>
    <xf numFmtId="178" fontId="3" fillId="0" borderId="32" xfId="3" applyNumberFormat="1" applyFont="1" applyFill="1" applyBorder="1" applyAlignment="1">
      <alignment horizontal="right" vertical="center"/>
    </xf>
    <xf numFmtId="0" fontId="5" fillId="0" borderId="199" xfId="0" applyFont="1" applyBorder="1" applyAlignment="1">
      <alignment horizontal="center" vertical="center"/>
    </xf>
    <xf numFmtId="0" fontId="5" fillId="0" borderId="88" xfId="0" applyFont="1" applyBorder="1" applyAlignment="1">
      <alignment horizontal="center" vertical="center"/>
    </xf>
    <xf numFmtId="0" fontId="5" fillId="0" borderId="72" xfId="0" applyFont="1" applyBorder="1" applyAlignment="1">
      <alignment horizontal="center" vertical="center"/>
    </xf>
    <xf numFmtId="0" fontId="5" fillId="0" borderId="151" xfId="0" applyFont="1" applyBorder="1" applyAlignment="1">
      <alignment horizontal="center" vertical="center"/>
    </xf>
    <xf numFmtId="0" fontId="5" fillId="0" borderId="2" xfId="0" applyFont="1" applyBorder="1" applyAlignment="1">
      <alignment horizontal="center" vertical="center"/>
    </xf>
    <xf numFmtId="0" fontId="5" fillId="0" borderId="160" xfId="0" applyFont="1" applyBorder="1" applyAlignment="1">
      <alignment horizontal="center" vertical="center"/>
    </xf>
    <xf numFmtId="0" fontId="5" fillId="0" borderId="35" xfId="0" applyFont="1" applyBorder="1" applyAlignment="1">
      <alignment horizontal="center" vertical="center"/>
    </xf>
    <xf numFmtId="0" fontId="5" fillId="0" borderId="99" xfId="0" applyFont="1" applyBorder="1" applyAlignment="1">
      <alignment horizontal="center" vertical="center"/>
    </xf>
    <xf numFmtId="0" fontId="5" fillId="0" borderId="97" xfId="0" applyFont="1" applyBorder="1" applyAlignment="1">
      <alignment horizontal="center" vertical="center"/>
    </xf>
    <xf numFmtId="0" fontId="5" fillId="0" borderId="2" xfId="0" applyFont="1" applyBorder="1">
      <alignment vertical="center"/>
    </xf>
    <xf numFmtId="0" fontId="5" fillId="0" borderId="76" xfId="0" applyFont="1" applyBorder="1">
      <alignment vertical="center"/>
    </xf>
    <xf numFmtId="0" fontId="5" fillId="0" borderId="170" xfId="0" applyFont="1" applyBorder="1" applyAlignment="1">
      <alignment horizontal="center" vertical="center"/>
    </xf>
    <xf numFmtId="0" fontId="5" fillId="0" borderId="15" xfId="0" applyFont="1" applyBorder="1">
      <alignment vertical="center"/>
    </xf>
    <xf numFmtId="0" fontId="5" fillId="0" borderId="38" xfId="0" applyFont="1" applyBorder="1">
      <alignment vertical="center"/>
    </xf>
    <xf numFmtId="0" fontId="5" fillId="0" borderId="13" xfId="0" applyFont="1" applyBorder="1">
      <alignment vertical="center"/>
    </xf>
    <xf numFmtId="0" fontId="5" fillId="0" borderId="5" xfId="0" applyFont="1" applyBorder="1">
      <alignment vertical="center"/>
    </xf>
    <xf numFmtId="0" fontId="5" fillId="0" borderId="202" xfId="0" applyFont="1" applyBorder="1" applyAlignment="1">
      <alignment horizontal="center" vertical="center"/>
    </xf>
    <xf numFmtId="0" fontId="5" fillId="0" borderId="35" xfId="0" applyFont="1" applyBorder="1">
      <alignment vertical="center"/>
    </xf>
    <xf numFmtId="0" fontId="5" fillId="0" borderId="37" xfId="0" applyFont="1" applyBorder="1">
      <alignment vertical="center"/>
    </xf>
    <xf numFmtId="0" fontId="5" fillId="0" borderId="97" xfId="0" applyFont="1" applyBorder="1">
      <alignment vertical="center"/>
    </xf>
    <xf numFmtId="0" fontId="5" fillId="0" borderId="100" xfId="0" applyFont="1" applyBorder="1">
      <alignment vertical="center"/>
    </xf>
    <xf numFmtId="0" fontId="5" fillId="0" borderId="33" xfId="0" applyFont="1" applyBorder="1" applyAlignment="1">
      <alignment horizontal="center" vertical="center"/>
    </xf>
    <xf numFmtId="0" fontId="5" fillId="0" borderId="123" xfId="0" applyFont="1" applyBorder="1" applyAlignment="1">
      <alignment horizontal="center" vertical="center"/>
    </xf>
    <xf numFmtId="0" fontId="5" fillId="0" borderId="148" xfId="0" applyFont="1" applyBorder="1" applyAlignment="1">
      <alignment horizontal="center" vertical="center"/>
    </xf>
    <xf numFmtId="0" fontId="5" fillId="0" borderId="91" xfId="0" applyFont="1" applyBorder="1" applyAlignment="1">
      <alignment horizontal="center" vertical="center"/>
    </xf>
    <xf numFmtId="0" fontId="5" fillId="0" borderId="121" xfId="0" applyFont="1" applyBorder="1" applyAlignment="1">
      <alignment horizontal="center" vertical="center"/>
    </xf>
    <xf numFmtId="0" fontId="5" fillId="0" borderId="98" xfId="0" applyFont="1" applyBorder="1" applyAlignment="1">
      <alignment horizontal="center" vertical="center"/>
    </xf>
    <xf numFmtId="178" fontId="5" fillId="0" borderId="35" xfId="0" applyNumberFormat="1" applyFont="1" applyBorder="1">
      <alignment vertical="center"/>
    </xf>
    <xf numFmtId="0" fontId="5" fillId="0" borderId="79" xfId="0" applyFont="1" applyBorder="1">
      <alignment vertical="center"/>
    </xf>
    <xf numFmtId="0" fontId="5" fillId="0" borderId="98" xfId="0" applyFont="1" applyBorder="1">
      <alignment vertical="center"/>
    </xf>
    <xf numFmtId="0" fontId="5" fillId="0" borderId="203" xfId="0" applyFont="1" applyBorder="1" applyAlignment="1">
      <alignment horizontal="center" vertical="center"/>
    </xf>
    <xf numFmtId="0" fontId="5" fillId="0" borderId="204" xfId="0" applyFont="1" applyBorder="1" applyAlignment="1">
      <alignment horizontal="center" vertical="center"/>
    </xf>
    <xf numFmtId="0" fontId="66" fillId="0" borderId="35" xfId="0" applyFont="1" applyBorder="1">
      <alignment vertical="center"/>
    </xf>
    <xf numFmtId="0" fontId="66" fillId="0" borderId="97" xfId="0" applyFont="1" applyBorder="1">
      <alignment vertical="center"/>
    </xf>
    <xf numFmtId="0" fontId="5" fillId="0" borderId="103" xfId="0" applyFont="1" applyBorder="1" applyAlignment="1">
      <alignment horizontal="center" vertical="center"/>
    </xf>
    <xf numFmtId="0" fontId="5" fillId="0" borderId="100" xfId="0" applyFont="1" applyBorder="1" applyAlignment="1">
      <alignment horizontal="center" vertical="center"/>
    </xf>
    <xf numFmtId="14" fontId="54" fillId="18" borderId="0" xfId="0" applyNumberFormat="1" applyFont="1" applyFill="1" applyAlignment="1">
      <alignment horizontal="right" vertical="center"/>
    </xf>
    <xf numFmtId="0" fontId="0" fillId="0" borderId="0" xfId="0">
      <alignment vertical="center"/>
    </xf>
    <xf numFmtId="14" fontId="39" fillId="18" borderId="0" xfId="0" applyNumberFormat="1" applyFont="1" applyFill="1" applyAlignment="1">
      <alignment horizontal="center"/>
    </xf>
    <xf numFmtId="183" fontId="61" fillId="18" borderId="0" xfId="0" applyNumberFormat="1" applyFont="1" applyFill="1" applyAlignment="1">
      <alignment horizontal="center"/>
    </xf>
    <xf numFmtId="9" fontId="39" fillId="18" borderId="0" xfId="1" applyFont="1" applyFill="1" applyAlignment="1">
      <alignment horizontal="center"/>
    </xf>
    <xf numFmtId="0" fontId="39" fillId="18" borderId="0" xfId="0" applyFont="1" applyFill="1" applyAlignment="1">
      <alignment horizontal="center"/>
    </xf>
    <xf numFmtId="0" fontId="7" fillId="18" borderId="0" xfId="0" applyFont="1" applyFill="1" applyAlignment="1">
      <alignment horizontal="left" vertical="center"/>
    </xf>
    <xf numFmtId="0" fontId="61" fillId="18" borderId="0" xfId="0" applyFont="1" applyFill="1" applyAlignment="1">
      <alignment horizontal="center"/>
    </xf>
    <xf numFmtId="0" fontId="0" fillId="0" borderId="5" xfId="0" applyBorder="1" applyAlignment="1">
      <alignment horizontal="center" vertical="center"/>
    </xf>
    <xf numFmtId="0" fontId="0" fillId="0" borderId="110" xfId="0" applyBorder="1" applyAlignment="1">
      <alignment horizontal="center" vertical="center"/>
    </xf>
    <xf numFmtId="0" fontId="0" fillId="15" borderId="87" xfId="0" applyFill="1" applyBorder="1" applyAlignment="1">
      <alignment horizontal="left" vertical="center"/>
    </xf>
    <xf numFmtId="0" fontId="0" fillId="15" borderId="83" xfId="0" applyFill="1" applyBorder="1" applyAlignment="1">
      <alignment horizontal="left" vertical="center"/>
    </xf>
    <xf numFmtId="186" fontId="0" fillId="15" borderId="5" xfId="0" applyNumberFormat="1" applyFill="1" applyBorder="1" applyAlignment="1">
      <alignment horizontal="center" vertical="center"/>
    </xf>
    <xf numFmtId="186" fontId="0" fillId="15" borderId="83" xfId="0" applyNumberFormat="1" applyFill="1" applyBorder="1" applyAlignment="1">
      <alignment horizontal="center" vertical="center"/>
    </xf>
    <xf numFmtId="0" fontId="0" fillId="0" borderId="120" xfId="0" applyBorder="1" applyAlignment="1">
      <alignment horizontal="center" vertical="center"/>
    </xf>
    <xf numFmtId="0" fontId="0" fillId="0" borderId="117"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21"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93" xfId="0" applyBorder="1" applyAlignment="1">
      <alignment horizontal="center" vertical="center"/>
    </xf>
    <xf numFmtId="0" fontId="0" fillId="0" borderId="51" xfId="0" applyBorder="1" applyAlignment="1">
      <alignment horizontal="center" vertical="center"/>
    </xf>
    <xf numFmtId="0" fontId="0" fillId="0" borderId="133" xfId="0" applyBorder="1" applyAlignment="1">
      <alignment horizontal="center" vertical="center"/>
    </xf>
    <xf numFmtId="0" fontId="0" fillId="0" borderId="96" xfId="0" applyBorder="1" applyAlignment="1">
      <alignment horizontal="center" vertical="center"/>
    </xf>
    <xf numFmtId="0" fontId="0" fillId="0" borderId="76" xfId="0" applyBorder="1" applyAlignment="1">
      <alignment horizontal="center" vertical="center"/>
    </xf>
    <xf numFmtId="0" fontId="0" fillId="0" borderId="90" xfId="0" applyBorder="1" applyAlignment="1">
      <alignment horizontal="center" vertical="center"/>
    </xf>
    <xf numFmtId="0" fontId="0" fillId="3" borderId="166" xfId="0" applyFill="1" applyBorder="1" applyAlignment="1">
      <alignment horizontal="left" vertical="center"/>
    </xf>
    <xf numFmtId="0" fontId="0" fillId="3" borderId="81" xfId="0" applyFill="1" applyBorder="1" applyAlignment="1">
      <alignment horizontal="left" vertical="center"/>
    </xf>
    <xf numFmtId="186" fontId="0" fillId="3" borderId="79" xfId="0" applyNumberFormat="1" applyFill="1" applyBorder="1" applyAlignment="1">
      <alignment horizontal="center" vertical="center"/>
    </xf>
    <xf numFmtId="186" fontId="0" fillId="3" borderId="81" xfId="0" applyNumberFormat="1" applyFill="1" applyBorder="1" applyAlignment="1">
      <alignment horizontal="center" vertical="center"/>
    </xf>
    <xf numFmtId="0" fontId="0" fillId="0" borderId="79" xfId="0" applyBorder="1" applyAlignment="1">
      <alignment horizontal="center" vertical="center"/>
    </xf>
    <xf numFmtId="0" fontId="0" fillId="0" borderId="167" xfId="0" applyBorder="1" applyAlignment="1">
      <alignment horizontal="center" vertical="center"/>
    </xf>
    <xf numFmtId="0" fontId="0" fillId="14" borderId="87" xfId="0" applyFill="1" applyBorder="1" applyAlignment="1">
      <alignment horizontal="left" vertical="center"/>
    </xf>
    <xf numFmtId="0" fontId="0" fillId="14" borderId="83" xfId="0" applyFill="1" applyBorder="1" applyAlignment="1">
      <alignment horizontal="left" vertical="center"/>
    </xf>
    <xf numFmtId="186" fontId="0" fillId="14" borderId="5" xfId="0" applyNumberFormat="1" applyFill="1" applyBorder="1" applyAlignment="1">
      <alignment horizontal="center" vertical="center"/>
    </xf>
    <xf numFmtId="186" fontId="0" fillId="14" borderId="83" xfId="0" applyNumberFormat="1" applyFill="1" applyBorder="1" applyAlignment="1">
      <alignment horizontal="center" vertical="center"/>
    </xf>
    <xf numFmtId="0" fontId="0" fillId="7" borderId="165" xfId="0" applyFill="1" applyBorder="1" applyAlignment="1">
      <alignment horizontal="left" vertical="center"/>
    </xf>
    <xf numFmtId="0" fontId="0" fillId="7" borderId="104" xfId="0" applyFill="1" applyBorder="1" applyAlignment="1">
      <alignment horizontal="left" vertical="center"/>
    </xf>
    <xf numFmtId="186" fontId="0" fillId="0" borderId="98" xfId="0" applyNumberFormat="1" applyBorder="1" applyAlignment="1">
      <alignment horizontal="center" vertical="center"/>
    </xf>
    <xf numFmtId="186" fontId="0" fillId="0" borderId="104" xfId="0" applyNumberFormat="1" applyBorder="1" applyAlignment="1">
      <alignment horizontal="center" vertical="center"/>
    </xf>
    <xf numFmtId="0" fontId="0" fillId="10" borderId="87" xfId="0" applyFill="1" applyBorder="1" applyAlignment="1">
      <alignment horizontal="left" vertical="center"/>
    </xf>
    <xf numFmtId="0" fontId="0" fillId="10" borderId="83" xfId="0" applyFill="1" applyBorder="1" applyAlignment="1">
      <alignment horizontal="left" vertical="center"/>
    </xf>
    <xf numFmtId="186" fontId="0" fillId="10" borderId="5" xfId="0" applyNumberFormat="1" applyFill="1" applyBorder="1" applyAlignment="1">
      <alignment horizontal="center" vertical="center"/>
    </xf>
    <xf numFmtId="186" fontId="0" fillId="10" borderId="83" xfId="0" applyNumberFormat="1" applyFill="1" applyBorder="1" applyAlignment="1">
      <alignment horizontal="center" vertical="center"/>
    </xf>
    <xf numFmtId="0" fontId="0" fillId="0" borderId="160" xfId="0" applyBorder="1" applyAlignment="1">
      <alignment horizontal="center" vertical="center"/>
    </xf>
    <xf numFmtId="0" fontId="0" fillId="0" borderId="35" xfId="0" applyBorder="1" applyAlignment="1">
      <alignment horizontal="center" vertical="center"/>
    </xf>
    <xf numFmtId="0" fontId="0" fillId="0" borderId="81" xfId="0" applyBorder="1" applyAlignment="1">
      <alignment horizontal="center" vertical="center"/>
    </xf>
    <xf numFmtId="0" fontId="0" fillId="0" borderId="72" xfId="0" applyBorder="1" applyAlignment="1">
      <alignment horizontal="center" vertical="center"/>
    </xf>
    <xf numFmtId="0" fontId="0" fillId="0" borderId="1" xfId="0" applyBorder="1" applyAlignment="1">
      <alignment horizontal="center" vertical="center"/>
    </xf>
    <xf numFmtId="0" fontId="0" fillId="0" borderId="83" xfId="0" applyBorder="1" applyAlignment="1">
      <alignment horizontal="center" vertical="center"/>
    </xf>
    <xf numFmtId="0" fontId="0" fillId="0" borderId="128" xfId="0" applyBorder="1" applyAlignment="1">
      <alignment horizontal="left" vertical="center"/>
    </xf>
    <xf numFmtId="0" fontId="0" fillId="0" borderId="129" xfId="0" applyBorder="1" applyAlignment="1">
      <alignment horizontal="left" vertical="center"/>
    </xf>
    <xf numFmtId="186" fontId="0" fillId="0" borderId="119" xfId="0" applyNumberFormat="1" applyBorder="1" applyAlignment="1">
      <alignment horizontal="center" vertical="center"/>
    </xf>
    <xf numFmtId="186" fontId="0" fillId="0" borderId="129" xfId="0" applyNumberFormat="1" applyBorder="1" applyAlignment="1">
      <alignment horizontal="center" vertical="center"/>
    </xf>
    <xf numFmtId="0" fontId="0" fillId="27" borderId="161" xfId="0" applyFill="1" applyBorder="1" applyAlignment="1">
      <alignment horizontal="center" vertical="center"/>
    </xf>
    <xf numFmtId="0" fontId="0" fillId="27" borderId="162" xfId="0" applyFill="1" applyBorder="1" applyAlignment="1">
      <alignment horizontal="center" vertical="center"/>
    </xf>
    <xf numFmtId="0" fontId="0" fillId="27" borderId="163" xfId="0" applyFill="1" applyBorder="1" applyAlignment="1">
      <alignment horizontal="center" vertical="center"/>
    </xf>
    <xf numFmtId="0" fontId="0" fillId="4" borderId="164" xfId="0" applyFill="1" applyBorder="1" applyAlignment="1">
      <alignment horizontal="center" vertical="center"/>
    </xf>
    <xf numFmtId="0" fontId="0" fillId="4" borderId="162" xfId="0" applyFill="1" applyBorder="1" applyAlignment="1">
      <alignment horizontal="center" vertical="center"/>
    </xf>
    <xf numFmtId="0" fontId="0" fillId="4" borderId="163" xfId="0" applyFill="1" applyBorder="1" applyAlignment="1">
      <alignment horizontal="center" vertical="center"/>
    </xf>
    <xf numFmtId="0" fontId="0" fillId="3" borderId="32" xfId="0" applyFill="1" applyBorder="1" applyAlignment="1">
      <alignment horizontal="center" vertical="center"/>
    </xf>
    <xf numFmtId="0" fontId="0" fillId="3" borderId="3" xfId="0" applyFill="1" applyBorder="1" applyAlignment="1">
      <alignment horizontal="center" vertical="center"/>
    </xf>
    <xf numFmtId="0" fontId="0" fillId="4" borderId="134" xfId="0" applyFill="1" applyBorder="1" applyAlignment="1">
      <alignment horizontal="center" vertical="center"/>
    </xf>
    <xf numFmtId="0" fontId="0" fillId="4" borderId="135" xfId="0" applyFill="1" applyBorder="1" applyAlignment="1">
      <alignment horizontal="center" vertical="center"/>
    </xf>
    <xf numFmtId="0" fontId="5" fillId="9" borderId="1" xfId="0" applyFont="1" applyFill="1" applyBorder="1" applyAlignment="1">
      <alignment horizontal="center" vertical="center"/>
    </xf>
    <xf numFmtId="0" fontId="0" fillId="0" borderId="151" xfId="0" applyBorder="1" applyAlignment="1">
      <alignment horizontal="center" vertical="center"/>
    </xf>
    <xf numFmtId="0" fontId="0" fillId="0" borderId="2" xfId="0" applyBorder="1" applyAlignment="1">
      <alignment horizontal="center" vertical="center"/>
    </xf>
    <xf numFmtId="0" fontId="0" fillId="0" borderId="148" xfId="0" applyBorder="1" applyAlignment="1">
      <alignment horizontal="center" vertical="center"/>
    </xf>
    <xf numFmtId="0" fontId="0" fillId="0" borderId="91" xfId="0" applyBorder="1" applyAlignment="1">
      <alignment horizontal="center" vertical="center"/>
    </xf>
    <xf numFmtId="0" fontId="0" fillId="0" borderId="99" xfId="0" applyBorder="1" applyAlignment="1">
      <alignment horizontal="center" vertical="center"/>
    </xf>
    <xf numFmtId="0" fontId="0" fillId="0" borderId="97" xfId="0" applyBorder="1" applyAlignment="1">
      <alignment horizontal="center" vertical="center"/>
    </xf>
    <xf numFmtId="38" fontId="0" fillId="0" borderId="91" xfId="0" applyNumberFormat="1" applyBorder="1" applyAlignment="1">
      <alignment horizontal="right" vertical="center"/>
    </xf>
    <xf numFmtId="0" fontId="0" fillId="0" borderId="97" xfId="0" applyBorder="1" applyAlignment="1">
      <alignment horizontal="right" vertical="center"/>
    </xf>
    <xf numFmtId="179" fontId="0" fillId="0" borderId="103" xfId="0" applyNumberFormat="1" applyBorder="1" applyAlignment="1">
      <alignment horizontal="right" vertical="center"/>
    </xf>
    <xf numFmtId="179" fontId="0" fillId="0" borderId="100" xfId="0" applyNumberFormat="1" applyBorder="1" applyAlignment="1">
      <alignment horizontal="right" vertical="center"/>
    </xf>
    <xf numFmtId="0" fontId="0" fillId="0" borderId="104" xfId="0" applyBorder="1" applyAlignment="1">
      <alignment horizontal="center" vertical="center"/>
    </xf>
    <xf numFmtId="38" fontId="0" fillId="0" borderId="1" xfId="0" applyNumberFormat="1" applyBorder="1" applyAlignment="1">
      <alignment horizontal="center" vertical="center"/>
    </xf>
    <xf numFmtId="0" fontId="0" fillId="19" borderId="0" xfId="0" applyFill="1" applyAlignment="1">
      <alignment horizontal="center" vertical="center"/>
    </xf>
    <xf numFmtId="0" fontId="0" fillId="19" borderId="3" xfId="0" applyFill="1" applyBorder="1" applyAlignment="1">
      <alignment horizontal="center" vertical="center"/>
    </xf>
    <xf numFmtId="38" fontId="0" fillId="0" borderId="33" xfId="0" applyNumberFormat="1" applyBorder="1" applyAlignment="1">
      <alignment horizontal="right" vertical="center"/>
    </xf>
    <xf numFmtId="38" fontId="0" fillId="0" borderId="123" xfId="0" applyNumberFormat="1" applyBorder="1" applyAlignment="1">
      <alignment horizontal="right" vertical="center"/>
    </xf>
    <xf numFmtId="179" fontId="0" fillId="0" borderId="18" xfId="0" applyNumberFormat="1" applyBorder="1" applyAlignment="1">
      <alignment horizontal="right" vertical="center"/>
    </xf>
    <xf numFmtId="179" fontId="0" fillId="0" borderId="19" xfId="0" applyNumberFormat="1" applyBorder="1" applyAlignment="1">
      <alignment horizontal="right"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186" fontId="0" fillId="0" borderId="1" xfId="0" applyNumberFormat="1" applyBorder="1" applyAlignment="1">
      <alignment horizontal="center" vertical="center"/>
    </xf>
    <xf numFmtId="0" fontId="0" fillId="19" borderId="6" xfId="0" applyFill="1" applyBorder="1" applyAlignment="1">
      <alignment horizontal="right"/>
    </xf>
    <xf numFmtId="0" fontId="5" fillId="15" borderId="76" xfId="0" applyFont="1" applyFill="1" applyBorder="1" applyAlignment="1">
      <alignment horizontal="center" vertical="center"/>
    </xf>
    <xf numFmtId="0" fontId="5" fillId="15" borderId="90" xfId="0" applyFont="1" applyFill="1" applyBorder="1" applyAlignment="1">
      <alignment horizontal="center" vertical="center"/>
    </xf>
    <xf numFmtId="0" fontId="5" fillId="15" borderId="7" xfId="0" applyFont="1" applyFill="1" applyBorder="1" applyAlignment="1">
      <alignment horizontal="center" vertical="center"/>
    </xf>
    <xf numFmtId="0" fontId="5" fillId="15" borderId="10" xfId="0" applyFont="1" applyFill="1" applyBorder="1" applyAlignment="1">
      <alignment horizontal="center" vertical="center"/>
    </xf>
    <xf numFmtId="0" fontId="5" fillId="15" borderId="59" xfId="0" applyFont="1" applyFill="1" applyBorder="1" applyAlignment="1">
      <alignment horizontal="center" vertical="center"/>
    </xf>
    <xf numFmtId="0" fontId="5" fillId="15" borderId="58" xfId="0" applyFont="1" applyFill="1" applyBorder="1" applyAlignment="1">
      <alignment horizontal="center" vertical="center"/>
    </xf>
    <xf numFmtId="0" fontId="5" fillId="30" borderId="2" xfId="0" applyFont="1" applyFill="1" applyBorder="1" applyAlignment="1">
      <alignment horizontal="center" vertical="center" textRotation="255" wrapText="1"/>
    </xf>
    <xf numFmtId="0" fontId="5" fillId="30" borderId="3" xfId="0" applyFont="1" applyFill="1" applyBorder="1" applyAlignment="1">
      <alignment horizontal="center" vertical="center" textRotation="255" wrapText="1"/>
    </xf>
    <xf numFmtId="0" fontId="5" fillId="30" borderId="4" xfId="0" applyFont="1" applyFill="1" applyBorder="1" applyAlignment="1">
      <alignment horizontal="center" vertical="center" textRotation="255" wrapText="1"/>
    </xf>
    <xf numFmtId="197" fontId="0" fillId="19" borderId="0" xfId="0" applyNumberFormat="1" applyFill="1" applyAlignment="1"/>
    <xf numFmtId="0" fontId="0" fillId="4" borderId="0" xfId="0" applyFill="1" applyAlignment="1">
      <alignment horizontal="left" vertical="top" wrapText="1"/>
    </xf>
    <xf numFmtId="0" fontId="0" fillId="10" borderId="6" xfId="0" applyFill="1" applyBorder="1" applyAlignment="1">
      <alignment horizontal="center" vertical="center"/>
    </xf>
    <xf numFmtId="0" fontId="0" fillId="10" borderId="90" xfId="0" applyFill="1" applyBorder="1" applyAlignment="1">
      <alignment horizontal="center" vertical="center"/>
    </xf>
    <xf numFmtId="0" fontId="0" fillId="10" borderId="0" xfId="0" applyFill="1" applyAlignment="1">
      <alignment horizontal="center" vertical="center"/>
    </xf>
    <xf numFmtId="0" fontId="0" fillId="10" borderId="10" xfId="0" applyFill="1" applyBorder="1" applyAlignment="1">
      <alignment horizontal="center" vertical="center"/>
    </xf>
    <xf numFmtId="0" fontId="0" fillId="10" borderId="9" xfId="0" applyFill="1" applyBorder="1" applyAlignment="1">
      <alignment horizontal="center" vertical="center"/>
    </xf>
    <xf numFmtId="0" fontId="0" fillId="10" borderId="58" xfId="0" applyFill="1" applyBorder="1" applyAlignment="1">
      <alignment horizontal="center" vertical="center"/>
    </xf>
    <xf numFmtId="197" fontId="0" fillId="22" borderId="0" xfId="0" applyNumberFormat="1" applyFill="1" applyAlignment="1">
      <alignment horizontal="right" vertical="top" wrapText="1"/>
    </xf>
    <xf numFmtId="38" fontId="1" fillId="19" borderId="0" xfId="3" applyFont="1" applyFill="1" applyBorder="1" applyAlignment="1">
      <alignment horizontal="center" vertical="center"/>
    </xf>
    <xf numFmtId="0" fontId="0" fillId="0" borderId="156" xfId="0" applyBorder="1" applyAlignment="1">
      <alignment horizontal="center" vertical="center"/>
    </xf>
    <xf numFmtId="0" fontId="0" fillId="0" borderId="36" xfId="0" applyBorder="1" applyAlignment="1">
      <alignment horizontal="center" vertical="center"/>
    </xf>
    <xf numFmtId="38" fontId="0" fillId="0" borderId="36" xfId="3" applyFont="1" applyBorder="1" applyAlignment="1">
      <alignment horizontal="center" vertical="center"/>
    </xf>
    <xf numFmtId="38" fontId="0" fillId="0" borderId="147" xfId="3" applyFont="1" applyBorder="1" applyAlignment="1">
      <alignment horizontal="center" vertical="center"/>
    </xf>
    <xf numFmtId="38" fontId="0" fillId="0" borderId="157" xfId="3" applyFont="1" applyBorder="1" applyAlignment="1">
      <alignment horizontal="center" vertical="center"/>
    </xf>
    <xf numFmtId="38" fontId="0" fillId="0" borderId="107" xfId="3" applyFont="1" applyBorder="1" applyAlignment="1">
      <alignment horizontal="center" vertical="center"/>
    </xf>
    <xf numFmtId="0" fontId="0" fillId="0" borderId="158" xfId="0" applyBorder="1" applyAlignment="1">
      <alignment horizontal="center" vertical="center"/>
    </xf>
    <xf numFmtId="0" fontId="0" fillId="0" borderId="41" xfId="0" applyBorder="1" applyAlignment="1">
      <alignment horizontal="center" vertical="center"/>
    </xf>
    <xf numFmtId="0" fontId="0" fillId="27" borderId="40" xfId="0" applyFill="1" applyBorder="1" applyAlignment="1">
      <alignment horizontal="center" vertical="center"/>
    </xf>
    <xf numFmtId="0" fontId="0" fillId="3" borderId="41" xfId="0" applyFill="1" applyBorder="1" applyAlignment="1">
      <alignment horizontal="center" vertical="center"/>
    </xf>
    <xf numFmtId="0" fontId="0" fillId="10" borderId="40" xfId="0" applyFill="1" applyBorder="1" applyAlignment="1">
      <alignment horizontal="center" vertical="center"/>
    </xf>
    <xf numFmtId="0" fontId="0" fillId="10" borderId="41" xfId="0" applyFill="1" applyBorder="1" applyAlignment="1">
      <alignment horizontal="center" vertical="center"/>
    </xf>
    <xf numFmtId="0" fontId="0" fillId="15" borderId="40" xfId="0" applyFill="1" applyBorder="1" applyAlignment="1">
      <alignment horizontal="center" vertical="center"/>
    </xf>
    <xf numFmtId="0" fontId="0" fillId="15" borderId="41" xfId="0" applyFill="1" applyBorder="1" applyAlignment="1">
      <alignment horizontal="center" vertical="center"/>
    </xf>
    <xf numFmtId="0" fontId="0" fillId="14" borderId="40" xfId="0" applyFill="1" applyBorder="1" applyAlignment="1">
      <alignment horizontal="center" vertical="center"/>
    </xf>
    <xf numFmtId="0" fontId="0" fillId="14" borderId="159" xfId="0" applyFill="1" applyBorder="1" applyAlignment="1">
      <alignment horizontal="center" vertical="center"/>
    </xf>
    <xf numFmtId="0" fontId="0" fillId="0" borderId="159" xfId="0" applyBorder="1" applyAlignment="1">
      <alignment horizontal="center" vertical="center"/>
    </xf>
    <xf numFmtId="0" fontId="0" fillId="0" borderId="153" xfId="0" applyBorder="1" applyAlignment="1">
      <alignment horizontal="center" vertical="center"/>
    </xf>
    <xf numFmtId="0" fontId="0" fillId="0" borderId="132" xfId="0" applyBorder="1" applyAlignment="1">
      <alignment horizontal="center" vertical="center"/>
    </xf>
    <xf numFmtId="38" fontId="0" fillId="0" borderId="154" xfId="3" applyFont="1" applyBorder="1" applyAlignment="1">
      <alignment horizontal="center" vertical="center"/>
    </xf>
    <xf numFmtId="38" fontId="0" fillId="0" borderId="155" xfId="3" applyFont="1" applyBorder="1" applyAlignment="1">
      <alignment horizontal="center" vertical="center"/>
    </xf>
    <xf numFmtId="38" fontId="1" fillId="0" borderId="154" xfId="3" applyBorder="1" applyAlignment="1">
      <alignment horizontal="center" vertical="center"/>
    </xf>
    <xf numFmtId="38" fontId="1" fillId="0" borderId="155" xfId="3" applyBorder="1" applyAlignment="1">
      <alignment horizontal="center" vertical="center"/>
    </xf>
    <xf numFmtId="38" fontId="1" fillId="0" borderId="150" xfId="3" applyBorder="1" applyAlignment="1">
      <alignment horizontal="center" vertical="center"/>
    </xf>
    <xf numFmtId="38" fontId="0" fillId="0" borderId="149" xfId="3" applyFont="1" applyBorder="1" applyAlignment="1">
      <alignment horizontal="center" vertical="center"/>
    </xf>
    <xf numFmtId="38" fontId="0" fillId="0" borderId="150" xfId="3" applyFont="1" applyBorder="1" applyAlignment="1">
      <alignment horizontal="center" vertical="center"/>
    </xf>
    <xf numFmtId="0" fontId="0" fillId="0" borderId="105" xfId="0" applyBorder="1" applyAlignment="1">
      <alignment horizontal="center" vertical="center"/>
    </xf>
    <xf numFmtId="0" fontId="0" fillId="0" borderId="8" xfId="0" applyBorder="1" applyAlignment="1">
      <alignment horizontal="center" vertical="center"/>
    </xf>
    <xf numFmtId="38" fontId="0" fillId="0" borderId="108" xfId="3" applyFont="1" applyBorder="1" applyAlignment="1">
      <alignment horizontal="center" vertical="center"/>
    </xf>
    <xf numFmtId="38" fontId="0" fillId="0" borderId="106" xfId="3" applyFont="1" applyBorder="1" applyAlignment="1">
      <alignment horizontal="center" vertical="center"/>
    </xf>
    <xf numFmtId="38" fontId="1" fillId="0" borderId="108" xfId="3" applyBorder="1" applyAlignment="1">
      <alignment horizontal="center" vertical="center"/>
    </xf>
    <xf numFmtId="38" fontId="1" fillId="0" borderId="106" xfId="3" applyBorder="1" applyAlignment="1">
      <alignment horizontal="center" vertical="center"/>
    </xf>
    <xf numFmtId="38" fontId="1" fillId="0" borderId="52" xfId="3" applyBorder="1" applyAlignment="1">
      <alignment horizontal="center" vertical="center"/>
    </xf>
    <xf numFmtId="38" fontId="0" fillId="0" borderId="17" xfId="3" applyFont="1" applyBorder="1" applyAlignment="1">
      <alignment horizontal="center" vertical="center"/>
    </xf>
    <xf numFmtId="38" fontId="0" fillId="0" borderId="12" xfId="3" applyFont="1" applyBorder="1" applyAlignment="1">
      <alignment horizontal="center" vertical="center"/>
    </xf>
    <xf numFmtId="0" fontId="0" fillId="4" borderId="0" xfId="0" applyFill="1" applyAlignment="1">
      <alignment horizontal="left" vertical="top"/>
    </xf>
    <xf numFmtId="0" fontId="0" fillId="25" borderId="0" xfId="0" applyFill="1" applyAlignment="1">
      <alignment horizontal="left" vertical="top" wrapText="1"/>
    </xf>
    <xf numFmtId="0" fontId="0" fillId="27" borderId="7" xfId="0" applyFill="1" applyBorder="1" applyAlignment="1">
      <alignment horizontal="center" vertical="center"/>
    </xf>
    <xf numFmtId="0" fontId="0" fillId="27" borderId="0" xfId="0" applyFill="1" applyAlignment="1">
      <alignment horizontal="center" vertical="center"/>
    </xf>
    <xf numFmtId="0" fontId="0" fillId="27" borderId="10" xfId="0" applyFill="1" applyBorder="1" applyAlignment="1">
      <alignment horizontal="center" vertical="center"/>
    </xf>
    <xf numFmtId="0" fontId="0" fillId="27" borderId="53" xfId="0" applyFill="1" applyBorder="1" applyAlignment="1">
      <alignment horizontal="center" vertical="center"/>
    </xf>
    <xf numFmtId="0" fontId="0" fillId="27" borderId="44" xfId="0" applyFill="1" applyBorder="1" applyAlignment="1">
      <alignment horizontal="center" vertical="center"/>
    </xf>
    <xf numFmtId="0" fontId="0" fillId="27" borderId="54" xfId="0" applyFill="1" applyBorder="1" applyAlignment="1">
      <alignment horizontal="center" vertical="center"/>
    </xf>
    <xf numFmtId="0" fontId="0" fillId="8" borderId="0" xfId="0" applyFill="1" applyAlignment="1">
      <alignment horizontal="left" vertical="top" wrapText="1"/>
    </xf>
    <xf numFmtId="38" fontId="0" fillId="19" borderId="0" xfId="0" applyNumberFormat="1" applyFill="1" applyAlignment="1">
      <alignment horizontal="center" vertical="center"/>
    </xf>
    <xf numFmtId="0" fontId="0" fillId="0" borderId="0" xfId="0" applyAlignment="1">
      <alignment horizontal="center" vertical="center"/>
    </xf>
    <xf numFmtId="38" fontId="0" fillId="0" borderId="0" xfId="3" applyFont="1" applyBorder="1" applyAlignment="1">
      <alignment horizontal="center" vertical="center"/>
    </xf>
    <xf numFmtId="38" fontId="1" fillId="0" borderId="0" xfId="3" applyBorder="1" applyAlignment="1">
      <alignment horizontal="center" vertical="center"/>
    </xf>
    <xf numFmtId="38" fontId="1" fillId="19" borderId="0" xfId="3" applyFill="1" applyBorder="1" applyAlignment="1">
      <alignment horizontal="center" vertical="center"/>
    </xf>
    <xf numFmtId="0" fontId="5" fillId="10" borderId="0" xfId="0" applyFont="1" applyFill="1" applyAlignment="1">
      <alignment horizontal="center" vertical="center"/>
    </xf>
    <xf numFmtId="0" fontId="39" fillId="29" borderId="0" xfId="0" applyFont="1" applyFill="1" applyAlignment="1">
      <alignment horizontal="center" vertical="center"/>
    </xf>
    <xf numFmtId="179" fontId="0" fillId="0" borderId="0" xfId="1" applyNumberFormat="1" applyFont="1" applyBorder="1" applyAlignment="1">
      <alignment horizontal="center" vertical="center"/>
    </xf>
    <xf numFmtId="38" fontId="0" fillId="0" borderId="0" xfId="0" applyNumberFormat="1" applyAlignment="1">
      <alignment horizontal="center" vertical="center"/>
    </xf>
    <xf numFmtId="0" fontId="4" fillId="0" borderId="0" xfId="0" applyFont="1" applyAlignment="1">
      <alignment horizontal="right" vertical="center"/>
    </xf>
    <xf numFmtId="0" fontId="0" fillId="14" borderId="0" xfId="0" applyFill="1" applyAlignment="1">
      <alignment horizontal="center" vertical="center"/>
    </xf>
    <xf numFmtId="194" fontId="0" fillId="0" borderId="0" xfId="0" applyNumberFormat="1" applyAlignment="1">
      <alignment horizontal="center" vertical="center"/>
    </xf>
    <xf numFmtId="0" fontId="5" fillId="14" borderId="0" xfId="0" applyFont="1" applyFill="1" applyAlignment="1">
      <alignment horizontal="center" vertical="center"/>
    </xf>
    <xf numFmtId="9" fontId="0" fillId="0" borderId="0" xfId="1" applyFont="1" applyBorder="1" applyAlignment="1">
      <alignment horizontal="center" vertical="center"/>
    </xf>
    <xf numFmtId="0" fontId="5" fillId="6" borderId="0" xfId="0" applyFont="1" applyFill="1" applyAlignment="1">
      <alignment horizontal="center" vertical="center"/>
    </xf>
    <xf numFmtId="0" fontId="5" fillId="27" borderId="0" xfId="0" applyFont="1" applyFill="1" applyAlignment="1">
      <alignment horizontal="center" vertical="center"/>
    </xf>
    <xf numFmtId="9" fontId="0" fillId="0" borderId="0" xfId="0" applyNumberFormat="1" applyAlignment="1">
      <alignment horizontal="center" vertical="center"/>
    </xf>
    <xf numFmtId="0" fontId="3" fillId="3" borderId="0" xfId="0" applyFont="1" applyFill="1" applyAlignment="1">
      <alignment horizontal="center" vertical="center"/>
    </xf>
    <xf numFmtId="0" fontId="0" fillId="28" borderId="0" xfId="0" applyFill="1" applyAlignment="1">
      <alignment horizontal="center" vertical="center"/>
    </xf>
    <xf numFmtId="189" fontId="0" fillId="0" borderId="0" xfId="0" applyNumberFormat="1" applyAlignment="1">
      <alignment horizontal="center" vertical="center"/>
    </xf>
    <xf numFmtId="186" fontId="0" fillId="0" borderId="0" xfId="0" applyNumberFormat="1" applyAlignment="1">
      <alignment horizontal="center" vertical="center"/>
    </xf>
    <xf numFmtId="0" fontId="3" fillId="10" borderId="0" xfId="0" applyFont="1" applyFill="1" applyAlignment="1">
      <alignment horizontal="center" vertical="center"/>
    </xf>
    <xf numFmtId="38" fontId="0" fillId="19" borderId="127" xfId="0" applyNumberFormat="1" applyFill="1" applyBorder="1" applyAlignment="1">
      <alignment horizontal="center" vertical="center"/>
    </xf>
    <xf numFmtId="0" fontId="0" fillId="19" borderId="19" xfId="0" applyFill="1" applyBorder="1" applyAlignment="1">
      <alignment horizontal="center" vertical="center"/>
    </xf>
    <xf numFmtId="0" fontId="0" fillId="15" borderId="0" xfId="0" applyFill="1" applyAlignment="1">
      <alignment horizontal="center" vertical="center"/>
    </xf>
    <xf numFmtId="0" fontId="0" fillId="19" borderId="152" xfId="0" applyFill="1" applyBorder="1" applyAlignment="1">
      <alignment horizontal="center" vertical="center"/>
    </xf>
    <xf numFmtId="0" fontId="0" fillId="19" borderId="57" xfId="0" applyFill="1" applyBorder="1" applyAlignment="1">
      <alignment horizontal="center" vertical="center"/>
    </xf>
    <xf numFmtId="0" fontId="3" fillId="0" borderId="5" xfId="0" applyFont="1" applyBorder="1" applyAlignment="1">
      <alignment horizontal="center" vertical="center"/>
    </xf>
    <xf numFmtId="0" fontId="3" fillId="0" borderId="83" xfId="0" applyFont="1" applyBorder="1" applyAlignment="1">
      <alignment horizontal="center" vertical="center"/>
    </xf>
    <xf numFmtId="178" fontId="3" fillId="0" borderId="87" xfId="0" applyNumberFormat="1" applyFont="1" applyBorder="1" applyAlignment="1">
      <alignment horizontal="center" vertical="center"/>
    </xf>
    <xf numFmtId="178" fontId="3" fillId="0" borderId="82" xfId="0" applyNumberFormat="1" applyFont="1" applyBorder="1" applyAlignment="1">
      <alignment horizontal="center" vertical="center"/>
    </xf>
    <xf numFmtId="178" fontId="3" fillId="0" borderId="83" xfId="0" applyNumberFormat="1" applyFont="1" applyBorder="1" applyAlignment="1">
      <alignment horizontal="center" vertical="center"/>
    </xf>
    <xf numFmtId="0" fontId="3" fillId="14" borderId="5" xfId="0" applyFont="1" applyFill="1" applyBorder="1" applyAlignment="1">
      <alignment horizontal="left" vertical="center"/>
    </xf>
    <xf numFmtId="0" fontId="3" fillId="14" borderId="82" xfId="0" applyFont="1" applyFill="1" applyBorder="1" applyAlignment="1">
      <alignment horizontal="left" vertical="center"/>
    </xf>
    <xf numFmtId="0" fontId="3" fillId="14" borderId="83" xfId="0" applyFont="1" applyFill="1" applyBorder="1" applyAlignment="1">
      <alignment horizontal="left" vertical="center"/>
    </xf>
    <xf numFmtId="0" fontId="3" fillId="19" borderId="6" xfId="0" applyFont="1" applyFill="1" applyBorder="1" applyAlignment="1">
      <alignment horizontal="left" vertical="center"/>
    </xf>
    <xf numFmtId="0" fontId="3" fillId="0" borderId="76" xfId="0" applyFont="1" applyBorder="1" applyAlignment="1">
      <alignment horizontal="center" vertical="center"/>
    </xf>
    <xf numFmtId="0" fontId="3" fillId="0" borderId="6" xfId="0" applyFont="1" applyBorder="1" applyAlignment="1">
      <alignment horizontal="center" vertical="center"/>
    </xf>
    <xf numFmtId="178" fontId="3" fillId="0" borderId="122"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90" xfId="0" applyNumberFormat="1" applyFont="1" applyBorder="1" applyAlignment="1">
      <alignment horizontal="center" vertical="center"/>
    </xf>
    <xf numFmtId="0" fontId="57" fillId="0" borderId="61" xfId="0" applyFont="1" applyBorder="1" applyAlignment="1">
      <alignment horizontal="left" vertical="center" shrinkToFit="1"/>
    </xf>
    <xf numFmtId="0" fontId="57" fillId="0" borderId="102" xfId="0" applyFont="1" applyBorder="1" applyAlignment="1">
      <alignment horizontal="left" vertical="center" shrinkToFit="1"/>
    </xf>
    <xf numFmtId="0" fontId="3" fillId="0" borderId="59" xfId="0" applyFont="1" applyBorder="1" applyAlignment="1">
      <alignment horizontal="center" vertical="center"/>
    </xf>
    <xf numFmtId="0" fontId="3" fillId="0" borderId="58" xfId="0" applyFont="1" applyBorder="1" applyAlignment="1">
      <alignment horizontal="center" vertical="center"/>
    </xf>
    <xf numFmtId="178" fontId="3" fillId="0" borderId="58" xfId="0" applyNumberFormat="1" applyFont="1" applyBorder="1" applyAlignment="1">
      <alignment horizontal="center" vertical="center"/>
    </xf>
    <xf numFmtId="202" fontId="3" fillId="0" borderId="2" xfId="3" applyNumberFormat="1" applyFont="1" applyBorder="1" applyAlignment="1">
      <alignment horizontal="right" vertical="center"/>
    </xf>
    <xf numFmtId="202" fontId="3" fillId="0" borderId="3" xfId="3" applyNumberFormat="1" applyFont="1" applyBorder="1" applyAlignment="1">
      <alignment horizontal="right" vertical="center"/>
    </xf>
    <xf numFmtId="202" fontId="3" fillId="0" borderId="4" xfId="3" applyNumberFormat="1" applyFont="1" applyBorder="1" applyAlignment="1">
      <alignment horizontal="right" vertical="center"/>
    </xf>
    <xf numFmtId="9" fontId="3" fillId="0" borderId="2" xfId="3" applyNumberFormat="1" applyFont="1" applyBorder="1" applyAlignment="1">
      <alignment horizontal="right" vertical="center"/>
    </xf>
    <xf numFmtId="9" fontId="3" fillId="0" borderId="3" xfId="3" applyNumberFormat="1" applyFont="1" applyBorder="1" applyAlignment="1">
      <alignment horizontal="right" vertical="center"/>
    </xf>
    <xf numFmtId="9" fontId="3" fillId="0" borderId="4" xfId="3" applyNumberFormat="1" applyFont="1" applyBorder="1" applyAlignment="1">
      <alignment horizontal="right" vertical="center"/>
    </xf>
    <xf numFmtId="178" fontId="3" fillId="0" borderId="3" xfId="3" applyNumberFormat="1" applyFont="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78" fontId="3" fillId="0" borderId="3" xfId="0" applyNumberFormat="1" applyFont="1" applyBorder="1" applyAlignment="1">
      <alignment horizontal="center" vertical="center"/>
    </xf>
    <xf numFmtId="178" fontId="3" fillId="0" borderId="4" xfId="0" applyNumberFormat="1" applyFont="1" applyBorder="1" applyAlignment="1">
      <alignment horizontal="center" vertical="center"/>
    </xf>
    <xf numFmtId="178" fontId="3" fillId="0" borderId="32" xfId="3" applyNumberFormat="1" applyFont="1" applyBorder="1" applyAlignment="1">
      <alignment horizontal="righ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xf>
    <xf numFmtId="0" fontId="3" fillId="0" borderId="82" xfId="0" applyFont="1" applyBorder="1" applyAlignment="1">
      <alignment horizontal="left" vertical="center"/>
    </xf>
    <xf numFmtId="0" fontId="3" fillId="0" borderId="110" xfId="0" applyFont="1" applyBorder="1" applyAlignment="1">
      <alignment horizontal="left" vertical="center"/>
    </xf>
    <xf numFmtId="0" fontId="3" fillId="0" borderId="83" xfId="0" applyFont="1" applyBorder="1" applyAlignment="1">
      <alignment horizontal="left"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0" fillId="0" borderId="0" xfId="0" applyAlignment="1">
      <alignment horizontal="center" vertical="center" wrapText="1"/>
    </xf>
    <xf numFmtId="0" fontId="4" fillId="3" borderId="0" xfId="0" applyFont="1" applyFill="1" applyAlignment="1">
      <alignment horizontal="center" vertical="center"/>
    </xf>
    <xf numFmtId="0" fontId="4" fillId="10" borderId="0" xfId="0" applyFont="1" applyFill="1" applyAlignment="1">
      <alignment horizontal="center" vertical="center"/>
    </xf>
    <xf numFmtId="0" fontId="4" fillId="15" borderId="0" xfId="0" applyFont="1" applyFill="1" applyAlignment="1">
      <alignment horizontal="center" vertical="center"/>
    </xf>
    <xf numFmtId="178" fontId="4" fillId="0" borderId="0" xfId="0" applyNumberFormat="1" applyFont="1" applyAlignment="1">
      <alignment horizontal="right" vertical="center"/>
    </xf>
    <xf numFmtId="178" fontId="4" fillId="0" borderId="0" xfId="3" applyNumberFormat="1" applyFont="1" applyBorder="1" applyAlignment="1">
      <alignment horizontal="center" vertical="center"/>
    </xf>
    <xf numFmtId="178" fontId="6" fillId="0" borderId="0" xfId="0" applyNumberFormat="1" applyFont="1" applyAlignment="1">
      <alignment horizontal="right" vertical="center"/>
    </xf>
    <xf numFmtId="178" fontId="6" fillId="0" borderId="0" xfId="3" applyNumberFormat="1" applyFont="1" applyBorder="1" applyAlignment="1">
      <alignment horizontal="center" vertical="center"/>
    </xf>
    <xf numFmtId="0" fontId="4" fillId="0" borderId="0" xfId="0" applyFont="1" applyAlignment="1">
      <alignment horizontal="center" vertical="center" wrapText="1"/>
    </xf>
    <xf numFmtId="0" fontId="4" fillId="27" borderId="1" xfId="0" applyFont="1" applyFill="1" applyBorder="1" applyAlignment="1">
      <alignment horizontal="center" vertical="center"/>
    </xf>
    <xf numFmtId="0" fontId="4" fillId="27" borderId="148" xfId="0" applyFont="1" applyFill="1" applyBorder="1" applyAlignment="1">
      <alignment horizontal="center" vertical="center"/>
    </xf>
    <xf numFmtId="0" fontId="4" fillId="27" borderId="103" xfId="0" applyFont="1" applyFill="1" applyBorder="1" applyAlignment="1">
      <alignment horizontal="center" vertical="center"/>
    </xf>
    <xf numFmtId="185" fontId="4" fillId="0" borderId="1" xfId="0" applyNumberFormat="1" applyFont="1" applyBorder="1" applyAlignment="1">
      <alignment horizontal="center" vertical="center"/>
    </xf>
    <xf numFmtId="0" fontId="4" fillId="0" borderId="1" xfId="0" applyFont="1" applyBorder="1" applyAlignment="1">
      <alignment horizontal="center" vertical="center"/>
    </xf>
    <xf numFmtId="38" fontId="4" fillId="0" borderId="1" xfId="0" applyNumberFormat="1" applyFont="1" applyBorder="1" applyAlignment="1">
      <alignment horizontal="center" vertical="center"/>
    </xf>
    <xf numFmtId="10" fontId="4" fillId="0" borderId="99" xfId="1" applyNumberFormat="1" applyFont="1" applyFill="1" applyBorder="1" applyAlignment="1">
      <alignment horizontal="center" vertical="center"/>
    </xf>
    <xf numFmtId="10" fontId="4" fillId="0" borderId="100" xfId="1" applyNumberFormat="1" applyFont="1" applyFill="1" applyBorder="1" applyAlignment="1">
      <alignment horizontal="center" vertical="center"/>
    </xf>
    <xf numFmtId="0" fontId="3" fillId="0" borderId="151"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92" xfId="0" applyFont="1" applyBorder="1" applyAlignment="1">
      <alignment horizontal="center" vertical="center" textRotation="255"/>
    </xf>
    <xf numFmtId="0" fontId="3" fillId="0" borderId="127" xfId="0" applyFont="1" applyBorder="1" applyAlignment="1">
      <alignment horizontal="center" vertical="center" textRotation="255"/>
    </xf>
    <xf numFmtId="0" fontId="4" fillId="14" borderId="1" xfId="0" applyFont="1" applyFill="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20" xfId="0" applyFont="1" applyBorder="1" applyAlignment="1">
      <alignment horizontal="center" vertical="center"/>
    </xf>
    <xf numFmtId="0" fontId="3" fillId="0" borderId="51" xfId="0" applyFont="1" applyBorder="1" applyAlignment="1">
      <alignment horizontal="center" vertical="center"/>
    </xf>
    <xf numFmtId="0" fontId="3" fillId="0" borderId="168" xfId="0" applyFont="1" applyBorder="1" applyAlignment="1">
      <alignment horizontal="center" vertical="center"/>
    </xf>
    <xf numFmtId="0" fontId="3" fillId="0" borderId="96" xfId="0" applyFont="1" applyBorder="1" applyAlignment="1">
      <alignment horizontal="center" vertical="center"/>
    </xf>
    <xf numFmtId="0" fontId="3" fillId="0" borderId="18" xfId="0" applyFont="1" applyBorder="1" applyAlignment="1">
      <alignment horizontal="center" vertical="center"/>
    </xf>
    <xf numFmtId="0" fontId="3" fillId="0" borderId="169" xfId="0" applyFont="1" applyBorder="1" applyAlignment="1">
      <alignment horizontal="center" vertical="center"/>
    </xf>
    <xf numFmtId="0" fontId="3" fillId="0" borderId="88" xfId="0" applyFont="1" applyBorder="1" applyAlignment="1">
      <alignment horizontal="center" vertical="center" textRotation="255"/>
    </xf>
    <xf numFmtId="14" fontId="39" fillId="18" borderId="0" xfId="0" applyNumberFormat="1" applyFont="1" applyFill="1" applyAlignment="1">
      <alignment horizontal="center" vertical="center"/>
    </xf>
    <xf numFmtId="0" fontId="0" fillId="0" borderId="7" xfId="0" applyBorder="1" applyAlignment="1">
      <alignment horizontal="center" vertical="center"/>
    </xf>
    <xf numFmtId="0" fontId="3" fillId="0" borderId="10" xfId="0" applyFont="1" applyBorder="1" applyAlignment="1">
      <alignment horizontal="center" vertical="center"/>
    </xf>
    <xf numFmtId="0" fontId="57" fillId="0" borderId="5" xfId="0" applyFont="1" applyBorder="1" applyAlignment="1">
      <alignment horizontal="left" vertical="center" shrinkToFit="1"/>
    </xf>
    <xf numFmtId="0" fontId="57" fillId="0" borderId="83" xfId="0" applyFont="1" applyBorder="1" applyAlignment="1">
      <alignment horizontal="left" vertical="center" shrinkToFit="1"/>
    </xf>
    <xf numFmtId="9" fontId="57" fillId="0" borderId="2" xfId="3" applyNumberFormat="1" applyFont="1" applyBorder="1" applyAlignment="1">
      <alignment horizontal="right" vertical="center"/>
    </xf>
    <xf numFmtId="9" fontId="57" fillId="0" borderId="3" xfId="3" applyNumberFormat="1" applyFont="1" applyBorder="1" applyAlignment="1">
      <alignment horizontal="right" vertical="center"/>
    </xf>
    <xf numFmtId="9" fontId="57" fillId="0" borderId="4" xfId="3" applyNumberFormat="1" applyFont="1" applyBorder="1" applyAlignment="1">
      <alignment horizontal="right" vertical="center"/>
    </xf>
    <xf numFmtId="178" fontId="3" fillId="15" borderId="151" xfId="3" applyNumberFormat="1" applyFont="1" applyFill="1" applyBorder="1" applyAlignment="1">
      <alignment horizontal="right" vertical="center"/>
    </xf>
    <xf numFmtId="178" fontId="3" fillId="15" borderId="32" xfId="3" applyNumberFormat="1" applyFont="1" applyFill="1" applyBorder="1" applyAlignment="1">
      <alignment horizontal="right" vertical="center"/>
    </xf>
    <xf numFmtId="178" fontId="3" fillId="15" borderId="88" xfId="3" applyNumberFormat="1" applyFont="1" applyFill="1" applyBorder="1" applyAlignment="1">
      <alignment horizontal="right" vertical="center"/>
    </xf>
    <xf numFmtId="0" fontId="3" fillId="15" borderId="2"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15" borderId="4" xfId="0" applyFont="1" applyFill="1" applyBorder="1" applyAlignment="1">
      <alignment horizontal="center" vertical="center" wrapText="1"/>
    </xf>
    <xf numFmtId="0" fontId="0" fillId="11" borderId="128" xfId="0" applyFill="1" applyBorder="1" applyAlignment="1">
      <alignment horizontal="center" vertical="center"/>
    </xf>
    <xf numFmtId="0" fontId="0" fillId="11" borderId="46" xfId="0" applyFill="1" applyBorder="1" applyAlignment="1">
      <alignment horizontal="center" vertical="center"/>
    </xf>
    <xf numFmtId="209" fontId="5" fillId="13" borderId="148" xfId="3" applyNumberFormat="1" applyFont="1" applyFill="1" applyBorder="1" applyAlignment="1">
      <alignment horizontal="center" vertical="center"/>
    </xf>
    <xf numFmtId="209" fontId="5" fillId="13" borderId="91" xfId="3" applyNumberFormat="1" applyFont="1" applyFill="1" applyBorder="1" applyAlignment="1">
      <alignment horizontal="center" vertical="center"/>
    </xf>
    <xf numFmtId="209" fontId="5" fillId="13" borderId="72" xfId="3" applyNumberFormat="1" applyFont="1" applyFill="1" applyBorder="1" applyAlignment="1">
      <alignment horizontal="center" vertical="center"/>
    </xf>
    <xf numFmtId="209" fontId="5" fillId="13" borderId="1" xfId="3" applyNumberFormat="1" applyFont="1" applyFill="1" applyBorder="1" applyAlignment="1">
      <alignment horizontal="center" vertical="center"/>
    </xf>
    <xf numFmtId="210" fontId="5" fillId="13" borderId="91" xfId="4" applyNumberFormat="1" applyFont="1" applyFill="1" applyBorder="1" applyAlignment="1">
      <alignment horizontal="center" vertical="center"/>
    </xf>
    <xf numFmtId="210" fontId="5" fillId="13" borderId="103" xfId="4" applyNumberFormat="1" applyFont="1" applyFill="1" applyBorder="1" applyAlignment="1">
      <alignment horizontal="center" vertical="center"/>
    </xf>
    <xf numFmtId="210" fontId="5" fillId="13" borderId="1" xfId="4" applyNumberFormat="1" applyFont="1" applyFill="1" applyBorder="1" applyAlignment="1">
      <alignment horizontal="center" vertical="center"/>
    </xf>
    <xf numFmtId="210" fontId="5" fillId="13" borderId="38" xfId="4" applyNumberFormat="1" applyFont="1" applyFill="1" applyBorder="1" applyAlignment="1">
      <alignment horizontal="center" vertical="center"/>
    </xf>
    <xf numFmtId="40" fontId="5" fillId="0" borderId="72" xfId="4" applyNumberFormat="1" applyFont="1" applyBorder="1" applyAlignment="1">
      <alignment vertical="center"/>
    </xf>
    <xf numFmtId="40" fontId="5" fillId="0" borderId="1" xfId="4" applyNumberFormat="1" applyFont="1" applyBorder="1" applyAlignment="1">
      <alignment vertical="center"/>
    </xf>
    <xf numFmtId="40" fontId="5" fillId="0" borderId="99" xfId="4" applyNumberFormat="1" applyFont="1" applyBorder="1" applyAlignment="1">
      <alignment vertical="center"/>
    </xf>
    <xf numFmtId="40" fontId="5" fillId="0" borderId="97" xfId="4" applyNumberFormat="1" applyFont="1" applyBorder="1" applyAlignment="1">
      <alignment vertical="center"/>
    </xf>
    <xf numFmtId="40" fontId="30" fillId="0" borderId="1" xfId="4" applyNumberFormat="1" applyFont="1" applyFill="1" applyBorder="1" applyAlignment="1">
      <alignment vertical="center"/>
    </xf>
    <xf numFmtId="40" fontId="30" fillId="0" borderId="38" xfId="4" applyNumberFormat="1" applyFont="1" applyFill="1" applyBorder="1" applyAlignment="1">
      <alignment vertical="center"/>
    </xf>
    <xf numFmtId="40" fontId="30" fillId="0" borderId="97" xfId="4" applyNumberFormat="1" applyFont="1" applyFill="1" applyBorder="1" applyAlignment="1">
      <alignment vertical="center"/>
    </xf>
    <xf numFmtId="40" fontId="30" fillId="0" borderId="100" xfId="4" applyNumberFormat="1" applyFont="1" applyFill="1" applyBorder="1" applyAlignment="1">
      <alignment vertical="center"/>
    </xf>
    <xf numFmtId="0" fontId="60" fillId="13" borderId="99" xfId="0" applyFont="1" applyFill="1" applyBorder="1" applyAlignment="1">
      <alignment horizontal="center" vertical="center"/>
    </xf>
    <xf numFmtId="0" fontId="60" fillId="13" borderId="97" xfId="0" applyFont="1" applyFill="1" applyBorder="1" applyAlignment="1">
      <alignment horizontal="center" vertical="center"/>
    </xf>
    <xf numFmtId="212" fontId="0" fillId="0" borderId="97" xfId="0" applyNumberFormat="1" applyBorder="1" applyAlignment="1">
      <alignment horizontal="center" vertical="center"/>
    </xf>
    <xf numFmtId="212" fontId="0" fillId="0" borderId="100" xfId="0" applyNumberFormat="1" applyBorder="1" applyAlignment="1">
      <alignment horizontal="center" vertical="center"/>
    </xf>
    <xf numFmtId="211" fontId="0" fillId="0" borderId="0" xfId="3" applyNumberFormat="1" applyFont="1" applyAlignment="1">
      <alignment horizontal="center" vertical="center"/>
    </xf>
    <xf numFmtId="0" fontId="62" fillId="13" borderId="128" xfId="0" applyFont="1" applyFill="1" applyBorder="1" applyAlignment="1">
      <alignment horizontal="center" vertical="center"/>
    </xf>
    <xf numFmtId="0" fontId="62" fillId="13" borderId="129" xfId="0" applyFont="1" applyFill="1" applyBorder="1" applyAlignment="1">
      <alignment horizontal="center" vertical="center"/>
    </xf>
    <xf numFmtId="212" fontId="38" fillId="0" borderId="119" xfId="0" applyNumberFormat="1" applyFont="1" applyBorder="1" applyAlignment="1">
      <alignment horizontal="center" vertical="center"/>
    </xf>
    <xf numFmtId="212" fontId="38" fillId="0" borderId="46" xfId="0" applyNumberFormat="1" applyFont="1" applyBorder="1" applyAlignment="1">
      <alignment horizontal="center" vertical="center"/>
    </xf>
    <xf numFmtId="0" fontId="62" fillId="13" borderId="152" xfId="0" applyFont="1" applyFill="1" applyBorder="1" applyAlignment="1">
      <alignment horizontal="center" vertical="center"/>
    </xf>
    <xf numFmtId="0" fontId="62" fillId="13" borderId="39" xfId="0" applyFont="1" applyFill="1" applyBorder="1" applyAlignment="1">
      <alignment horizontal="center" vertical="center"/>
    </xf>
    <xf numFmtId="212" fontId="38" fillId="0" borderId="39" xfId="0" applyNumberFormat="1" applyFont="1" applyBorder="1" applyAlignment="1">
      <alignment horizontal="center" vertical="center"/>
    </xf>
    <xf numFmtId="212" fontId="38" fillId="0" borderId="57" xfId="0" applyNumberFormat="1" applyFont="1" applyBorder="1" applyAlignment="1">
      <alignment horizontal="center" vertical="center"/>
    </xf>
    <xf numFmtId="0" fontId="60" fillId="13" borderId="88" xfId="0" applyFont="1" applyFill="1" applyBorder="1" applyAlignment="1">
      <alignment horizontal="center" vertical="center"/>
    </xf>
    <xf numFmtId="0" fontId="60" fillId="13" borderId="4" xfId="0" applyFont="1" applyFill="1" applyBorder="1" applyAlignment="1">
      <alignment horizontal="center" vertical="center"/>
    </xf>
    <xf numFmtId="212" fontId="0" fillId="0" borderId="4" xfId="0" applyNumberFormat="1" applyBorder="1" applyAlignment="1">
      <alignment horizontal="center" vertical="center"/>
    </xf>
    <xf numFmtId="212" fontId="0" fillId="0" borderId="15" xfId="0" applyNumberFormat="1" applyBorder="1" applyAlignment="1">
      <alignment horizontal="center" vertical="center"/>
    </xf>
    <xf numFmtId="199" fontId="6" fillId="0" borderId="6" xfId="4" applyNumberFormat="1" applyFont="1" applyFill="1" applyBorder="1" applyAlignment="1">
      <alignment vertical="center"/>
    </xf>
    <xf numFmtId="199" fontId="6" fillId="0" borderId="9" xfId="4" applyNumberFormat="1" applyFont="1" applyFill="1" applyBorder="1" applyAlignment="1">
      <alignment vertical="center"/>
    </xf>
    <xf numFmtId="208" fontId="4" fillId="0" borderId="76" xfId="0" applyNumberFormat="1" applyFont="1" applyBorder="1" applyAlignment="1">
      <alignment horizontal="center" vertical="center"/>
    </xf>
    <xf numFmtId="208" fontId="4" fillId="0" borderId="6" xfId="0" applyNumberFormat="1" applyFont="1" applyBorder="1" applyAlignment="1">
      <alignment horizontal="center" vertical="center"/>
    </xf>
    <xf numFmtId="208" fontId="4" fillId="0" borderId="90" xfId="0" applyNumberFormat="1" applyFont="1" applyBorder="1" applyAlignment="1">
      <alignment horizontal="center" vertical="center"/>
    </xf>
    <xf numFmtId="208" fontId="4" fillId="0" borderId="59" xfId="0" applyNumberFormat="1" applyFont="1" applyBorder="1" applyAlignment="1">
      <alignment horizontal="center" vertical="center"/>
    </xf>
    <xf numFmtId="208" fontId="4" fillId="0" borderId="9" xfId="0" applyNumberFormat="1" applyFont="1" applyBorder="1" applyAlignment="1">
      <alignment horizontal="center" vertical="center"/>
    </xf>
    <xf numFmtId="208" fontId="4" fillId="0" borderId="58" xfId="0" applyNumberFormat="1" applyFont="1" applyBorder="1" applyAlignment="1">
      <alignment horizontal="center" vertical="center"/>
    </xf>
    <xf numFmtId="9" fontId="63" fillId="0" borderId="177" xfId="4" applyNumberFormat="1" applyFont="1" applyBorder="1" applyAlignment="1">
      <alignment horizontal="center" vertical="center"/>
    </xf>
    <xf numFmtId="9" fontId="63" fillId="0" borderId="6" xfId="4" applyNumberFormat="1" applyFont="1" applyBorder="1" applyAlignment="1">
      <alignment horizontal="center" vertical="center"/>
    </xf>
    <xf numFmtId="9" fontId="63" fillId="0" borderId="178" xfId="4" applyNumberFormat="1" applyFont="1" applyBorder="1" applyAlignment="1">
      <alignment horizontal="center" vertical="center"/>
    </xf>
    <xf numFmtId="9" fontId="63" fillId="0" borderId="9" xfId="4" applyNumberFormat="1" applyFont="1" applyBorder="1" applyAlignment="1">
      <alignment horizontal="center" vertical="center"/>
    </xf>
    <xf numFmtId="38" fontId="6" fillId="0" borderId="179" xfId="4" applyFont="1" applyBorder="1" applyAlignment="1">
      <alignment horizontal="center" vertical="center"/>
    </xf>
    <xf numFmtId="38" fontId="6" fillId="0" borderId="6" xfId="4" applyFont="1" applyBorder="1" applyAlignment="1">
      <alignment horizontal="center" vertical="center"/>
    </xf>
    <xf numFmtId="38" fontId="6" fillId="0" borderId="90" xfId="4" applyFont="1" applyBorder="1" applyAlignment="1">
      <alignment horizontal="center" vertical="center"/>
    </xf>
    <xf numFmtId="38" fontId="6" fillId="0" borderId="180" xfId="4" applyFont="1" applyBorder="1" applyAlignment="1">
      <alignment horizontal="center" vertical="center"/>
    </xf>
    <xf numFmtId="38" fontId="6" fillId="0" borderId="9" xfId="4" applyFont="1" applyBorder="1" applyAlignment="1">
      <alignment horizontal="center" vertical="center"/>
    </xf>
    <xf numFmtId="38" fontId="6" fillId="0" borderId="58" xfId="4" applyFont="1" applyBorder="1" applyAlignment="1">
      <alignment horizontal="center" vertical="center"/>
    </xf>
    <xf numFmtId="9" fontId="63" fillId="0" borderId="76" xfId="4" applyNumberFormat="1" applyFont="1" applyBorder="1" applyAlignment="1">
      <alignment horizontal="center" vertical="center"/>
    </xf>
    <xf numFmtId="9" fontId="63" fillId="0" borderId="59" xfId="4" applyNumberFormat="1" applyFont="1" applyBorder="1" applyAlignment="1">
      <alignment horizontal="center" vertical="center"/>
    </xf>
    <xf numFmtId="38" fontId="1" fillId="0" borderId="0" xfId="9" applyNumberFormat="1" applyAlignment="1">
      <alignment horizontal="right"/>
    </xf>
    <xf numFmtId="0" fontId="1" fillId="0" borderId="0" xfId="9" applyAlignment="1">
      <alignment horizontal="right"/>
    </xf>
    <xf numFmtId="14" fontId="0" fillId="0" borderId="0" xfId="0" applyNumberFormat="1" applyAlignment="1">
      <alignment horizontal="right"/>
    </xf>
    <xf numFmtId="0" fontId="4" fillId="0" borderId="0" xfId="0" applyFont="1" applyAlignment="1">
      <alignment horizontal="center"/>
    </xf>
    <xf numFmtId="0" fontId="4" fillId="0" borderId="6" xfId="0" applyFont="1" applyBorder="1" applyAlignment="1">
      <alignment horizontal="center"/>
    </xf>
    <xf numFmtId="198" fontId="4" fillId="0" borderId="76" xfId="4" applyNumberFormat="1" applyFont="1" applyBorder="1" applyAlignment="1">
      <alignment horizontal="center" vertical="center"/>
    </xf>
    <xf numFmtId="198" fontId="4" fillId="0" borderId="6" xfId="4" applyNumberFormat="1" applyFont="1" applyBorder="1" applyAlignment="1">
      <alignment horizontal="center" vertical="center"/>
    </xf>
    <xf numFmtId="198" fontId="4" fillId="0" borderId="90" xfId="4" applyNumberFormat="1" applyFont="1" applyBorder="1" applyAlignment="1">
      <alignment horizontal="center" vertical="center"/>
    </xf>
    <xf numFmtId="198" fontId="4" fillId="0" borderId="59" xfId="4" applyNumberFormat="1" applyFont="1" applyBorder="1" applyAlignment="1">
      <alignment horizontal="center" vertical="center"/>
    </xf>
    <xf numFmtId="198" fontId="4" fillId="0" borderId="9" xfId="4" applyNumberFormat="1" applyFont="1" applyBorder="1" applyAlignment="1">
      <alignment horizontal="center" vertical="center"/>
    </xf>
    <xf numFmtId="198" fontId="4" fillId="0" borderId="58" xfId="4" applyNumberFormat="1" applyFont="1" applyBorder="1" applyAlignment="1">
      <alignment horizontal="center" vertical="center"/>
    </xf>
    <xf numFmtId="40" fontId="4" fillId="0" borderId="49" xfId="4" applyNumberFormat="1" applyFont="1" applyFill="1" applyBorder="1" applyAlignment="1">
      <alignment horizontal="right" vertical="center"/>
    </xf>
    <xf numFmtId="40" fontId="4" fillId="0" borderId="9" xfId="4" applyNumberFormat="1" applyFont="1" applyFill="1" applyBorder="1" applyAlignment="1">
      <alignment horizontal="right" vertical="center"/>
    </xf>
    <xf numFmtId="0" fontId="4" fillId="0" borderId="49" xfId="0" applyFont="1" applyBorder="1" applyAlignment="1">
      <alignment horizontal="left" vertical="center"/>
    </xf>
    <xf numFmtId="0" fontId="4" fillId="0" borderId="9" xfId="0" applyFont="1" applyBorder="1" applyAlignment="1">
      <alignment horizontal="left" vertical="center"/>
    </xf>
    <xf numFmtId="0" fontId="4" fillId="0" borderId="76" xfId="0" applyFont="1" applyBorder="1" applyAlignment="1">
      <alignment horizontal="center" vertical="center" wrapText="1"/>
    </xf>
    <xf numFmtId="0" fontId="4" fillId="0" borderId="6" xfId="0" applyFont="1" applyBorder="1" applyAlignment="1">
      <alignment horizontal="center" vertical="center"/>
    </xf>
    <xf numFmtId="0" fontId="4" fillId="0" borderId="90" xfId="0" applyFont="1" applyBorder="1" applyAlignment="1">
      <alignment horizontal="center" vertical="center"/>
    </xf>
    <xf numFmtId="0" fontId="4" fillId="0" borderId="59" xfId="0" applyFont="1" applyBorder="1" applyAlignment="1">
      <alignment horizontal="center" vertical="center"/>
    </xf>
    <xf numFmtId="0" fontId="4" fillId="0" borderId="9" xfId="0" applyFont="1" applyBorder="1" applyAlignment="1">
      <alignment horizontal="center" vertical="center"/>
    </xf>
    <xf numFmtId="0" fontId="4" fillId="0" borderId="58" xfId="0" applyFont="1" applyBorder="1" applyAlignment="1">
      <alignment horizontal="center" vertical="center"/>
    </xf>
    <xf numFmtId="0" fontId="4" fillId="0" borderId="182" xfId="0" applyFont="1" applyBorder="1" applyAlignment="1">
      <alignment horizontal="center" vertical="center" wrapText="1"/>
    </xf>
    <xf numFmtId="0" fontId="4" fillId="0" borderId="145" xfId="0" applyFont="1" applyBorder="1" applyAlignment="1">
      <alignment horizontal="center" vertical="center" wrapText="1"/>
    </xf>
    <xf numFmtId="0" fontId="4" fillId="0" borderId="183" xfId="0" applyFont="1" applyBorder="1" applyAlignment="1">
      <alignment horizontal="center" vertical="center" wrapText="1"/>
    </xf>
    <xf numFmtId="0" fontId="4" fillId="0" borderId="184" xfId="0" applyFont="1" applyBorder="1" applyAlignment="1">
      <alignment horizontal="center" vertical="center" wrapText="1"/>
    </xf>
    <xf numFmtId="0" fontId="4" fillId="0" borderId="146" xfId="0" applyFont="1" applyBorder="1" applyAlignment="1">
      <alignment horizontal="center" vertical="center" wrapText="1"/>
    </xf>
    <xf numFmtId="0" fontId="4" fillId="0" borderId="9" xfId="0" applyFont="1" applyBorder="1" applyAlignment="1">
      <alignment horizontal="center"/>
    </xf>
    <xf numFmtId="0" fontId="63" fillId="0" borderId="109" xfId="0" applyFont="1" applyBorder="1" applyAlignment="1">
      <alignment horizontal="center" vertical="center" shrinkToFit="1"/>
    </xf>
    <xf numFmtId="0" fontId="63" fillId="0" borderId="56" xfId="0" applyFont="1" applyBorder="1" applyAlignment="1">
      <alignment horizontal="center" vertical="center" shrinkToFit="1"/>
    </xf>
    <xf numFmtId="0" fontId="63" fillId="0" borderId="185" xfId="0" applyFont="1" applyBorder="1" applyAlignment="1">
      <alignment horizontal="center" vertical="center" shrinkToFit="1"/>
    </xf>
    <xf numFmtId="0" fontId="63" fillId="0" borderId="178" xfId="0" applyFont="1" applyBorder="1" applyAlignment="1">
      <alignment horizontal="center" vertical="center"/>
    </xf>
    <xf numFmtId="0" fontId="63" fillId="0" borderId="9" xfId="0" applyFont="1" applyBorder="1" applyAlignment="1">
      <alignment horizontal="center" vertical="center"/>
    </xf>
    <xf numFmtId="0" fontId="63" fillId="0" borderId="58" xfId="0" applyFont="1" applyBorder="1" applyAlignment="1">
      <alignment horizontal="center" vertical="center"/>
    </xf>
    <xf numFmtId="0" fontId="63" fillId="0" borderId="59" xfId="0" applyFont="1" applyBorder="1" applyAlignment="1">
      <alignment horizontal="center" vertical="center"/>
    </xf>
    <xf numFmtId="0" fontId="64" fillId="0" borderId="139" xfId="0" applyFont="1" applyBorder="1" applyAlignment="1">
      <alignment horizontal="right" vertical="center"/>
    </xf>
    <xf numFmtId="40" fontId="63" fillId="0" borderId="76" xfId="4" applyNumberFormat="1" applyFont="1" applyBorder="1" applyAlignment="1">
      <alignment horizontal="center" vertical="center"/>
    </xf>
    <xf numFmtId="40" fontId="63" fillId="0" borderId="24" xfId="4" applyNumberFormat="1" applyFont="1" applyBorder="1" applyAlignment="1">
      <alignment horizontal="center" vertical="center"/>
    </xf>
    <xf numFmtId="40" fontId="63" fillId="0" borderId="59" xfId="4" applyNumberFormat="1" applyFont="1" applyBorder="1" applyAlignment="1">
      <alignment horizontal="center" vertical="center"/>
    </xf>
    <xf numFmtId="40" fontId="63" fillId="0" borderId="23" xfId="4" applyNumberFormat="1" applyFont="1" applyBorder="1" applyAlignment="1">
      <alignment horizontal="center" vertical="center"/>
    </xf>
    <xf numFmtId="38" fontId="6" fillId="0" borderId="176" xfId="4" applyFont="1" applyBorder="1" applyAlignment="1">
      <alignment horizontal="center" vertical="center"/>
    </xf>
    <xf numFmtId="38" fontId="6" fillId="0" borderId="181" xfId="4" applyFont="1" applyBorder="1" applyAlignment="1">
      <alignment horizontal="center" vertical="center"/>
    </xf>
    <xf numFmtId="0" fontId="4" fillId="0" borderId="76" xfId="0" applyFont="1" applyBorder="1" applyAlignment="1">
      <alignment horizontal="center" vertical="center"/>
    </xf>
    <xf numFmtId="38" fontId="4" fillId="0" borderId="6" xfId="4" applyFont="1" applyBorder="1" applyAlignment="1">
      <alignment vertical="center"/>
    </xf>
    <xf numFmtId="38" fontId="4" fillId="0" borderId="9" xfId="4" applyFont="1" applyBorder="1" applyAlignment="1">
      <alignment vertical="center"/>
    </xf>
    <xf numFmtId="199" fontId="6" fillId="0" borderId="44" xfId="4" applyNumberFormat="1" applyFont="1" applyFill="1" applyBorder="1" applyAlignment="1">
      <alignment vertical="center"/>
    </xf>
    <xf numFmtId="38" fontId="6" fillId="0" borderId="76" xfId="4" applyFont="1" applyBorder="1" applyAlignment="1">
      <alignment horizontal="center" vertical="center"/>
    </xf>
    <xf numFmtId="38" fontId="6" fillId="0" borderId="59" xfId="4" applyFont="1" applyBorder="1" applyAlignment="1">
      <alignment horizontal="center" vertical="center"/>
    </xf>
    <xf numFmtId="0" fontId="4" fillId="0" borderId="6"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8" xfId="0" applyFont="1" applyBorder="1" applyAlignment="1">
      <alignment horizontal="center" vertical="center" wrapText="1"/>
    </xf>
    <xf numFmtId="38" fontId="6" fillId="0" borderId="1" xfId="4" applyFont="1" applyBorder="1" applyAlignment="1">
      <alignment horizontal="center" vertical="center"/>
    </xf>
    <xf numFmtId="38" fontId="6" fillId="0" borderId="177" xfId="4" applyFont="1" applyBorder="1" applyAlignment="1">
      <alignment horizontal="center" vertical="center"/>
    </xf>
    <xf numFmtId="38" fontId="6" fillId="0" borderId="178" xfId="4" applyFont="1" applyBorder="1" applyAlignment="1">
      <alignment horizontal="center" vertical="center"/>
    </xf>
    <xf numFmtId="38" fontId="5" fillId="0" borderId="76" xfId="4" applyFont="1" applyBorder="1" applyAlignment="1">
      <alignment horizontal="center" vertical="center" shrinkToFit="1"/>
    </xf>
    <xf numFmtId="38" fontId="5" fillId="0" borderId="6" xfId="4" applyFont="1" applyBorder="1" applyAlignment="1">
      <alignment horizontal="center" vertical="center" shrinkToFit="1"/>
    </xf>
    <xf numFmtId="38" fontId="5" fillId="0" borderId="90" xfId="4" applyFont="1" applyBorder="1" applyAlignment="1">
      <alignment horizontal="center" vertical="center" shrinkToFit="1"/>
    </xf>
    <xf numFmtId="207" fontId="5" fillId="0" borderId="5" xfId="0" applyNumberFormat="1" applyFont="1" applyBorder="1">
      <alignment vertical="center"/>
    </xf>
    <xf numFmtId="207" fontId="5" fillId="0" borderId="82" xfId="0" applyNumberFormat="1" applyFont="1" applyBorder="1">
      <alignment vertical="center"/>
    </xf>
    <xf numFmtId="207" fontId="5" fillId="0" borderId="83" xfId="0" applyNumberFormat="1" applyFont="1" applyBorder="1">
      <alignment vertical="center"/>
    </xf>
    <xf numFmtId="207" fontId="5" fillId="0" borderId="5" xfId="4" applyNumberFormat="1" applyFont="1" applyBorder="1" applyAlignment="1">
      <alignment vertical="center"/>
    </xf>
    <xf numFmtId="207" fontId="5" fillId="0" borderId="82" xfId="4" applyNumberFormat="1" applyFont="1" applyBorder="1" applyAlignment="1">
      <alignment vertical="center"/>
    </xf>
    <xf numFmtId="207" fontId="5" fillId="0" borderId="83" xfId="4" applyNumberFormat="1" applyFont="1" applyBorder="1" applyAlignment="1">
      <alignment vertical="center"/>
    </xf>
    <xf numFmtId="0" fontId="4" fillId="0" borderId="44" xfId="0" applyFont="1" applyBorder="1" applyAlignment="1">
      <alignment horizontal="center" vertical="center" shrinkToFit="1"/>
    </xf>
    <xf numFmtId="0" fontId="4" fillId="32" borderId="128" xfId="0" applyFont="1" applyFill="1" applyBorder="1" applyAlignment="1">
      <alignment horizontal="center" vertical="center" shrinkToFit="1"/>
    </xf>
    <xf numFmtId="0" fontId="4" fillId="32" borderId="130" xfId="0" applyFont="1" applyFill="1" applyBorder="1" applyAlignment="1">
      <alignment horizontal="center" vertical="center" shrinkToFit="1"/>
    </xf>
    <xf numFmtId="0" fontId="4" fillId="32" borderId="46" xfId="0" applyFont="1" applyFill="1" applyBorder="1" applyAlignment="1">
      <alignment horizontal="center" vertical="center" shrinkToFit="1"/>
    </xf>
    <xf numFmtId="0" fontId="0" fillId="0" borderId="128" xfId="0" applyBorder="1" applyAlignment="1">
      <alignment horizontal="center" vertical="center"/>
    </xf>
    <xf numFmtId="0" fontId="0" fillId="0" borderId="130" xfId="0" applyBorder="1" applyAlignment="1">
      <alignment horizontal="center" vertical="center"/>
    </xf>
    <xf numFmtId="0" fontId="0" fillId="0" borderId="46" xfId="0" applyBorder="1" applyAlignment="1">
      <alignment horizontal="center" vertical="center"/>
    </xf>
    <xf numFmtId="207" fontId="5" fillId="0" borderId="79" xfId="4" applyNumberFormat="1" applyFont="1" applyBorder="1" applyAlignment="1">
      <alignment vertical="center"/>
    </xf>
    <xf numFmtId="207" fontId="5" fillId="0" borderId="78" xfId="4" applyNumberFormat="1" applyFont="1" applyBorder="1" applyAlignment="1">
      <alignment vertical="center"/>
    </xf>
    <xf numFmtId="207" fontId="5" fillId="0" borderId="81" xfId="4" applyNumberFormat="1" applyFont="1" applyBorder="1" applyAlignment="1">
      <alignment vertical="center"/>
    </xf>
    <xf numFmtId="0" fontId="4" fillId="0" borderId="92" xfId="0" applyFont="1" applyBorder="1" applyAlignment="1">
      <alignment horizontal="center" vertical="center"/>
    </xf>
    <xf numFmtId="0" fontId="4" fillId="0" borderId="33" xfId="0" applyFont="1" applyBorder="1" applyAlignment="1">
      <alignment horizontal="center" vertical="center"/>
    </xf>
    <xf numFmtId="0" fontId="4" fillId="0" borderId="127" xfId="0" applyFont="1" applyBorder="1" applyAlignment="1">
      <alignment horizontal="center" vertical="center"/>
    </xf>
    <xf numFmtId="0" fontId="4" fillId="0" borderId="123" xfId="0" applyFont="1" applyBorder="1" applyAlignment="1">
      <alignment horizontal="center" vertical="center"/>
    </xf>
    <xf numFmtId="38" fontId="6" fillId="0" borderId="93" xfId="4" applyFont="1" applyBorder="1" applyAlignment="1">
      <alignment horizontal="center" vertical="center"/>
    </xf>
    <xf numFmtId="38" fontId="6" fillId="0" borderId="49" xfId="4" applyFont="1" applyBorder="1" applyAlignment="1">
      <alignment horizontal="center" vertical="center"/>
    </xf>
    <xf numFmtId="38" fontId="6" fillId="0" borderId="53" xfId="4" applyFont="1" applyBorder="1" applyAlignment="1">
      <alignment horizontal="center" vertical="center"/>
    </xf>
    <xf numFmtId="38" fontId="6" fillId="0" borderId="44" xfId="4" applyFont="1" applyBorder="1" applyAlignment="1">
      <alignment horizontal="center" vertical="center"/>
    </xf>
    <xf numFmtId="38" fontId="6" fillId="32" borderId="120" xfId="4" applyFont="1" applyFill="1" applyBorder="1" applyAlignment="1">
      <alignment horizontal="center" vertical="center"/>
    </xf>
    <xf numFmtId="38" fontId="6" fillId="32" borderId="49" xfId="4" applyFont="1" applyFill="1" applyBorder="1" applyAlignment="1">
      <alignment horizontal="center" vertical="center"/>
    </xf>
    <xf numFmtId="38" fontId="6" fillId="32" borderId="51" xfId="4" applyFont="1" applyFill="1" applyBorder="1" applyAlignment="1">
      <alignment horizontal="center" vertical="center"/>
    </xf>
    <xf numFmtId="38" fontId="6" fillId="32" borderId="126" xfId="4" applyFont="1" applyFill="1" applyBorder="1" applyAlignment="1">
      <alignment horizontal="center" vertical="center"/>
    </xf>
    <xf numFmtId="38" fontId="6" fillId="32" borderId="44" xfId="4" applyFont="1" applyFill="1" applyBorder="1" applyAlignment="1">
      <alignment horizontal="center" vertical="center"/>
    </xf>
    <xf numFmtId="38" fontId="6" fillId="32" borderId="42" xfId="4" applyFont="1" applyFill="1" applyBorder="1" applyAlignment="1">
      <alignment horizontal="center" vertical="center"/>
    </xf>
    <xf numFmtId="38" fontId="6" fillId="0" borderId="92" xfId="4" applyFont="1" applyFill="1" applyBorder="1" applyAlignment="1">
      <alignment horizontal="center" vertical="center"/>
    </xf>
    <xf numFmtId="38" fontId="6" fillId="0" borderId="33" xfId="4" applyFont="1" applyFill="1" applyBorder="1" applyAlignment="1">
      <alignment horizontal="center" vertical="center"/>
    </xf>
    <xf numFmtId="38" fontId="6" fillId="0" borderId="18" xfId="4" applyFont="1" applyFill="1" applyBorder="1" applyAlignment="1">
      <alignment horizontal="center" vertical="center"/>
    </xf>
    <xf numFmtId="38" fontId="6" fillId="0" borderId="127" xfId="4" applyFont="1" applyFill="1" applyBorder="1" applyAlignment="1">
      <alignment horizontal="center" vertical="center"/>
    </xf>
    <xf numFmtId="38" fontId="6" fillId="0" borderId="123" xfId="4" applyFont="1" applyFill="1" applyBorder="1" applyAlignment="1">
      <alignment horizontal="center" vertical="center"/>
    </xf>
    <xf numFmtId="38" fontId="6" fillId="0" borderId="19" xfId="4" applyFont="1" applyFill="1" applyBorder="1" applyAlignment="1">
      <alignment horizontal="center" vertical="center"/>
    </xf>
    <xf numFmtId="0" fontId="5" fillId="0" borderId="133" xfId="0" applyFont="1" applyBorder="1" applyAlignment="1">
      <alignment horizontal="left" vertical="center"/>
    </xf>
    <xf numFmtId="0" fontId="5" fillId="0" borderId="95" xfId="0" applyFont="1" applyBorder="1" applyAlignment="1">
      <alignment horizontal="left" vertical="center"/>
    </xf>
    <xf numFmtId="207" fontId="5" fillId="0" borderId="175" xfId="0" applyNumberFormat="1" applyFont="1" applyBorder="1">
      <alignment vertical="center"/>
    </xf>
    <xf numFmtId="207" fontId="5" fillId="0" borderId="95" xfId="0" applyNumberFormat="1" applyFont="1" applyBorder="1">
      <alignment vertical="center"/>
    </xf>
    <xf numFmtId="207" fontId="5" fillId="0" borderId="136" xfId="0" applyNumberFormat="1" applyFont="1" applyBorder="1">
      <alignment vertical="center"/>
    </xf>
    <xf numFmtId="207" fontId="5" fillId="0" borderId="133" xfId="0" applyNumberFormat="1" applyFont="1" applyBorder="1">
      <alignment vertical="center"/>
    </xf>
    <xf numFmtId="0" fontId="5" fillId="0" borderId="6" xfId="0" applyFont="1" applyBorder="1" applyAlignment="1">
      <alignment horizontal="right" vertical="center"/>
    </xf>
    <xf numFmtId="0" fontId="5" fillId="0" borderId="176" xfId="0" applyFont="1" applyBorder="1" applyAlignment="1">
      <alignment horizontal="right" vertical="center"/>
    </xf>
    <xf numFmtId="0" fontId="5" fillId="0" borderId="17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0" xfId="0" applyFont="1" applyBorder="1" applyAlignment="1">
      <alignment horizontal="center" vertical="center" shrinkToFit="1"/>
    </xf>
    <xf numFmtId="0" fontId="5" fillId="0" borderId="76" xfId="0" applyFont="1" applyBorder="1" applyAlignment="1">
      <alignment horizontal="center" vertical="center" shrinkToFit="1"/>
    </xf>
    <xf numFmtId="189" fontId="5" fillId="0" borderId="82" xfId="4" applyNumberFormat="1" applyFont="1" applyFill="1" applyBorder="1" applyAlignment="1">
      <alignment vertical="center"/>
    </xf>
    <xf numFmtId="189" fontId="5" fillId="0" borderId="172" xfId="4" applyNumberFormat="1" applyFont="1" applyFill="1" applyBorder="1" applyAlignment="1">
      <alignment vertical="center"/>
    </xf>
    <xf numFmtId="207" fontId="5" fillId="0" borderId="174" xfId="0" applyNumberFormat="1" applyFont="1" applyBorder="1">
      <alignment vertical="center"/>
    </xf>
    <xf numFmtId="207" fontId="5" fillId="0" borderId="78" xfId="0" applyNumberFormat="1" applyFont="1" applyBorder="1">
      <alignment vertical="center"/>
    </xf>
    <xf numFmtId="207" fontId="5" fillId="0" borderId="81" xfId="0" applyNumberFormat="1" applyFont="1" applyBorder="1">
      <alignment vertical="center"/>
    </xf>
    <xf numFmtId="207" fontId="5" fillId="0" borderId="79" xfId="0" applyNumberFormat="1" applyFont="1" applyBorder="1">
      <alignment vertical="center"/>
    </xf>
    <xf numFmtId="0" fontId="5" fillId="0" borderId="76"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5" xfId="0" applyFont="1" applyBorder="1" applyAlignment="1">
      <alignment horizontal="left" vertical="center" shrinkToFit="1"/>
    </xf>
    <xf numFmtId="0" fontId="4" fillId="0" borderId="82" xfId="0" applyFont="1" applyBorder="1" applyAlignment="1">
      <alignment horizontal="left" vertical="center" shrinkToFit="1"/>
    </xf>
    <xf numFmtId="207" fontId="5" fillId="0" borderId="173" xfId="0" applyNumberFormat="1" applyFont="1" applyBorder="1">
      <alignment vertical="center"/>
    </xf>
    <xf numFmtId="207" fontId="5" fillId="0" borderId="171" xfId="0" applyNumberFormat="1" applyFont="1" applyBorder="1">
      <alignment vertical="center"/>
    </xf>
    <xf numFmtId="207" fontId="5" fillId="0" borderId="111" xfId="0" applyNumberFormat="1" applyFont="1" applyBorder="1">
      <alignment vertical="center"/>
    </xf>
    <xf numFmtId="207" fontId="5" fillId="0" borderId="170" xfId="0" applyNumberFormat="1" applyFont="1" applyBorder="1">
      <alignment vertical="center"/>
    </xf>
    <xf numFmtId="0" fontId="5" fillId="0" borderId="0" xfId="0" applyFont="1" applyAlignment="1">
      <alignment horizontal="left" vertical="center"/>
    </xf>
    <xf numFmtId="0" fontId="0" fillId="0" borderId="0" xfId="0" applyAlignment="1"/>
    <xf numFmtId="0" fontId="19" fillId="31" borderId="120" xfId="0" applyFont="1" applyFill="1" applyBorder="1" applyAlignment="1">
      <alignment horizontal="left" vertical="center"/>
    </xf>
    <xf numFmtId="0" fontId="19" fillId="31" borderId="49" xfId="0" applyFont="1" applyFill="1" applyBorder="1" applyAlignment="1">
      <alignment horizontal="left" vertical="center"/>
    </xf>
    <xf numFmtId="0" fontId="19" fillId="31" borderId="51" xfId="0" applyFont="1" applyFill="1" applyBorder="1" applyAlignment="1">
      <alignment horizontal="left" vertical="center"/>
    </xf>
    <xf numFmtId="0" fontId="19" fillId="31" borderId="126" xfId="0" applyFont="1" applyFill="1" applyBorder="1" applyAlignment="1">
      <alignment horizontal="left" vertical="center"/>
    </xf>
    <xf numFmtId="0" fontId="19" fillId="31" borderId="44" xfId="0" applyFont="1" applyFill="1" applyBorder="1" applyAlignment="1">
      <alignment horizontal="left" vertical="center"/>
    </xf>
    <xf numFmtId="0" fontId="19" fillId="31" borderId="42" xfId="0" applyFont="1" applyFill="1" applyBorder="1" applyAlignment="1">
      <alignment horizontal="left" vertical="center"/>
    </xf>
    <xf numFmtId="187" fontId="4" fillId="32" borderId="0" xfId="0" applyNumberFormat="1" applyFont="1" applyFill="1" applyAlignment="1">
      <alignment horizontal="center" vertical="center"/>
    </xf>
    <xf numFmtId="201" fontId="3" fillId="0" borderId="6" xfId="0" applyNumberFormat="1" applyFont="1" applyBorder="1" applyAlignment="1">
      <alignment horizontal="center" vertical="center"/>
    </xf>
    <xf numFmtId="192" fontId="4" fillId="0" borderId="0" xfId="0" applyNumberFormat="1" applyFont="1">
      <alignment vertical="center"/>
    </xf>
    <xf numFmtId="187" fontId="4" fillId="0" borderId="0" xfId="0" applyNumberFormat="1" applyFont="1" applyAlignment="1">
      <alignment horizontal="center" vertical="center"/>
    </xf>
    <xf numFmtId="201" fontId="3" fillId="0" borderId="0" xfId="0" applyNumberFormat="1" applyFont="1" applyAlignment="1">
      <alignment horizontal="center"/>
    </xf>
    <xf numFmtId="0" fontId="5" fillId="0" borderId="0" xfId="0" applyFont="1" applyAlignment="1">
      <alignment horizontal="center" vertical="center"/>
    </xf>
    <xf numFmtId="186" fontId="4" fillId="0" borderId="0" xfId="0" applyNumberFormat="1" applyFont="1">
      <alignment vertical="center"/>
    </xf>
    <xf numFmtId="186" fontId="31" fillId="0" borderId="0" xfId="0" applyNumberFormat="1" applyFont="1" applyAlignment="1">
      <alignment horizontal="right" vertical="center"/>
    </xf>
    <xf numFmtId="9" fontId="20" fillId="0" borderId="0" xfId="0" applyNumberFormat="1" applyFont="1" applyAlignment="1">
      <alignment horizontal="center" vertical="center"/>
    </xf>
    <xf numFmtId="186" fontId="56" fillId="0" borderId="0" xfId="0" applyNumberFormat="1" applyFont="1">
      <alignment vertical="center"/>
    </xf>
    <xf numFmtId="9" fontId="65" fillId="0" borderId="0" xfId="0" applyNumberFormat="1" applyFont="1" applyAlignment="1">
      <alignment horizontal="center" vertical="center"/>
    </xf>
    <xf numFmtId="186" fontId="22" fillId="0" borderId="0" xfId="0" applyNumberFormat="1" applyFont="1">
      <alignment vertical="center"/>
    </xf>
    <xf numFmtId="200" fontId="56" fillId="0" borderId="0" xfId="2" applyNumberFormat="1" applyFont="1" applyBorder="1" applyAlignment="1">
      <alignment vertical="center"/>
    </xf>
    <xf numFmtId="200" fontId="22" fillId="0" borderId="0" xfId="2" applyNumberFormat="1" applyFont="1" applyBorder="1" applyAlignment="1">
      <alignment vertical="center"/>
    </xf>
    <xf numFmtId="9" fontId="4" fillId="0" borderId="0" xfId="2" applyFont="1" applyBorder="1" applyAlignment="1">
      <alignment vertical="center"/>
    </xf>
    <xf numFmtId="9" fontId="22" fillId="0" borderId="0" xfId="2" applyFont="1" applyBorder="1" applyAlignment="1">
      <alignment vertical="center"/>
    </xf>
    <xf numFmtId="192" fontId="22" fillId="0" borderId="0" xfId="0" applyNumberFormat="1" applyFont="1">
      <alignment vertical="center"/>
    </xf>
    <xf numFmtId="0" fontId="46" fillId="0" borderId="72" xfId="0" applyFont="1" applyBorder="1" applyAlignment="1">
      <alignment horizontal="left" vertical="center"/>
    </xf>
    <xf numFmtId="0" fontId="46" fillId="0" borderId="1" xfId="0" applyFont="1" applyBorder="1" applyAlignment="1">
      <alignment horizontal="left" vertical="center"/>
    </xf>
    <xf numFmtId="0" fontId="46" fillId="0" borderId="99" xfId="0" applyFont="1" applyBorder="1" applyAlignment="1">
      <alignment horizontal="left" vertical="center"/>
    </xf>
    <xf numFmtId="0" fontId="46" fillId="0" borderId="97" xfId="0" applyFont="1" applyBorder="1" applyAlignment="1">
      <alignment horizontal="left" vertical="center"/>
    </xf>
    <xf numFmtId="0" fontId="46" fillId="0" borderId="88" xfId="0" applyFont="1" applyBorder="1" applyAlignment="1">
      <alignment horizontal="left" vertical="center"/>
    </xf>
    <xf numFmtId="0" fontId="46" fillId="0" borderId="4" xfId="0" applyFont="1" applyBorder="1" applyAlignment="1">
      <alignment horizontal="left" vertical="center"/>
    </xf>
    <xf numFmtId="0" fontId="46" fillId="13" borderId="148" xfId="0" applyFont="1" applyFill="1" applyBorder="1" applyAlignment="1">
      <alignment horizontal="center" vertical="center"/>
    </xf>
    <xf numFmtId="0" fontId="46" fillId="13" borderId="91" xfId="0" applyFont="1" applyFill="1" applyBorder="1" applyAlignment="1">
      <alignment horizontal="center" vertical="center"/>
    </xf>
    <xf numFmtId="0" fontId="46" fillId="13" borderId="72" xfId="0" applyFont="1" applyFill="1" applyBorder="1" applyAlignment="1">
      <alignment horizontal="center" vertical="center"/>
    </xf>
    <xf numFmtId="0" fontId="46" fillId="13" borderId="1" xfId="0" applyFont="1" applyFill="1" applyBorder="1" applyAlignment="1">
      <alignment horizontal="center" vertical="center"/>
    </xf>
    <xf numFmtId="0" fontId="46" fillId="13" borderId="62" xfId="0" applyFont="1" applyFill="1" applyBorder="1" applyAlignment="1">
      <alignment horizontal="center" vertical="center"/>
    </xf>
    <xf numFmtId="0" fontId="46" fillId="13" borderId="60" xfId="0" applyFont="1" applyFill="1" applyBorder="1" applyAlignment="1">
      <alignment horizontal="center" vertical="center"/>
    </xf>
    <xf numFmtId="0" fontId="0" fillId="13" borderId="124" xfId="0" applyFill="1" applyBorder="1" applyAlignment="1">
      <alignment horizontal="center" vertical="center"/>
    </xf>
    <xf numFmtId="0" fontId="0" fillId="13" borderId="115" xfId="0" applyFill="1" applyBorder="1" applyAlignment="1">
      <alignment horizontal="center" vertical="center"/>
    </xf>
    <xf numFmtId="40" fontId="42" fillId="13" borderId="7" xfId="3" applyNumberFormat="1" applyFont="1" applyFill="1" applyBorder="1" applyAlignment="1">
      <alignment horizontal="left" vertical="center"/>
    </xf>
    <xf numFmtId="40" fontId="42" fillId="13" borderId="10" xfId="3" applyNumberFormat="1" applyFont="1" applyFill="1" applyBorder="1" applyAlignment="1">
      <alignment horizontal="left" vertical="center"/>
    </xf>
    <xf numFmtId="40" fontId="42" fillId="13" borderId="0" xfId="3" applyNumberFormat="1" applyFont="1" applyFill="1" applyAlignment="1">
      <alignment horizontal="left" vertical="center"/>
    </xf>
    <xf numFmtId="0" fontId="46" fillId="13" borderId="125" xfId="0" applyFont="1" applyFill="1" applyBorder="1" applyAlignment="1">
      <alignment horizontal="center" vertical="center"/>
    </xf>
    <xf numFmtId="0" fontId="44" fillId="0" borderId="88" xfId="0" applyFont="1" applyBorder="1" applyAlignment="1">
      <alignment horizontal="left" vertical="center"/>
    </xf>
    <xf numFmtId="0" fontId="44" fillId="0" borderId="4" xfId="0" applyFont="1" applyBorder="1" applyAlignment="1">
      <alignment horizontal="left" vertical="center"/>
    </xf>
    <xf numFmtId="0" fontId="47" fillId="0" borderId="72" xfId="0" applyFont="1" applyBorder="1" applyAlignment="1">
      <alignment horizontal="left" vertical="center"/>
    </xf>
    <xf numFmtId="0" fontId="47" fillId="0" borderId="1" xfId="0" applyFont="1" applyBorder="1" applyAlignment="1">
      <alignment horizontal="left" vertical="center"/>
    </xf>
    <xf numFmtId="0" fontId="44" fillId="0" borderId="72" xfId="0" applyFont="1" applyBorder="1" applyAlignment="1">
      <alignment horizontal="left" vertical="center"/>
    </xf>
    <xf numFmtId="0" fontId="44" fillId="0" borderId="1" xfId="0" applyFont="1" applyBorder="1" applyAlignment="1">
      <alignment horizontal="left" vertical="center"/>
    </xf>
    <xf numFmtId="0" fontId="47" fillId="0" borderId="99" xfId="0" applyFont="1" applyBorder="1" applyAlignment="1">
      <alignment horizontal="left" vertical="center"/>
    </xf>
    <xf numFmtId="0" fontId="47" fillId="0" borderId="97" xfId="0" applyFont="1" applyBorder="1" applyAlignment="1">
      <alignment horizontal="left" vertical="center"/>
    </xf>
    <xf numFmtId="0" fontId="42" fillId="13" borderId="120" xfId="0" applyFont="1" applyFill="1" applyBorder="1" applyAlignment="1">
      <alignment horizontal="center" vertical="center"/>
    </xf>
    <xf numFmtId="0" fontId="42" fillId="13" borderId="117" xfId="0" applyFont="1" applyFill="1" applyBorder="1" applyAlignment="1">
      <alignment horizontal="center" vertical="center"/>
    </xf>
    <xf numFmtId="0" fontId="42" fillId="13" borderId="17" xfId="0" applyFont="1" applyFill="1" applyBorder="1" applyAlignment="1">
      <alignment horizontal="center" vertical="center"/>
    </xf>
    <xf numFmtId="0" fontId="42" fillId="13" borderId="10" xfId="0" applyFont="1" applyFill="1" applyBorder="1" applyAlignment="1">
      <alignment horizontal="center" vertical="center"/>
    </xf>
    <xf numFmtId="0" fontId="42" fillId="13" borderId="168" xfId="0" applyFont="1" applyFill="1" applyBorder="1" applyAlignment="1">
      <alignment horizontal="center" vertical="center"/>
    </xf>
    <xf numFmtId="0" fontId="42" fillId="13" borderId="136" xfId="0" applyFont="1" applyFill="1" applyBorder="1" applyAlignment="1">
      <alignment horizontal="center" vertical="center"/>
    </xf>
    <xf numFmtId="0" fontId="0" fillId="13" borderId="193" xfId="0" applyFill="1" applyBorder="1" applyAlignment="1">
      <alignment horizontal="center" vertical="center"/>
    </xf>
    <xf numFmtId="0" fontId="0" fillId="13" borderId="194" xfId="0" applyFill="1" applyBorder="1" applyAlignment="1">
      <alignment horizontal="center" vertical="center"/>
    </xf>
    <xf numFmtId="0" fontId="0" fillId="13" borderId="195" xfId="0" applyFill="1" applyBorder="1" applyAlignment="1">
      <alignment horizontal="center" vertical="center"/>
    </xf>
    <xf numFmtId="0" fontId="0" fillId="13" borderId="196" xfId="0" applyFill="1" applyBorder="1" applyAlignment="1">
      <alignment horizontal="center" vertical="center"/>
    </xf>
    <xf numFmtId="0" fontId="0" fillId="13" borderId="197" xfId="0" applyFill="1" applyBorder="1" applyAlignment="1">
      <alignment horizontal="center" vertical="center"/>
    </xf>
    <xf numFmtId="0" fontId="46" fillId="13" borderId="103" xfId="0" applyFont="1" applyFill="1" applyBorder="1" applyAlignment="1">
      <alignment horizontal="center" vertical="center"/>
    </xf>
    <xf numFmtId="0" fontId="23" fillId="14" borderId="2" xfId="0" applyFont="1" applyFill="1" applyBorder="1" applyAlignment="1">
      <alignment horizontal="left" vertical="top" wrapText="1"/>
    </xf>
    <xf numFmtId="0" fontId="23" fillId="14" borderId="3" xfId="0" applyFont="1" applyFill="1" applyBorder="1" applyAlignment="1">
      <alignment horizontal="left" vertical="top"/>
    </xf>
    <xf numFmtId="0" fontId="23" fillId="14" borderId="4" xfId="0" applyFont="1" applyFill="1" applyBorder="1" applyAlignment="1">
      <alignment horizontal="left" vertical="top"/>
    </xf>
    <xf numFmtId="0" fontId="23" fillId="14" borderId="61" xfId="0" applyFont="1" applyFill="1" applyBorder="1" applyAlignment="1">
      <alignment horizontal="left" vertical="center"/>
    </xf>
    <xf numFmtId="0" fontId="23" fillId="14" borderId="102" xfId="0" applyFont="1" applyFill="1" applyBorder="1" applyAlignment="1">
      <alignment horizontal="left" vertical="center"/>
    </xf>
    <xf numFmtId="0" fontId="0" fillId="13" borderId="73" xfId="0" applyFill="1" applyBorder="1" applyAlignment="1">
      <alignment horizontal="center" vertical="center"/>
    </xf>
    <xf numFmtId="0" fontId="0" fillId="13" borderId="114" xfId="0" applyFill="1" applyBorder="1" applyAlignment="1">
      <alignment horizontal="center" vertical="center"/>
    </xf>
    <xf numFmtId="178" fontId="3" fillId="33" borderId="63" xfId="3" applyNumberFormat="1" applyFont="1" applyFill="1" applyBorder="1" applyProtection="1">
      <alignment vertical="center"/>
      <protection locked="0"/>
    </xf>
    <xf numFmtId="178" fontId="3" fillId="33" borderId="66" xfId="3" applyNumberFormat="1" applyFont="1" applyFill="1" applyBorder="1" applyProtection="1">
      <alignment vertical="center"/>
      <protection locked="0"/>
    </xf>
    <xf numFmtId="180" fontId="3" fillId="33" borderId="66" xfId="3" applyNumberFormat="1" applyFont="1" applyFill="1" applyBorder="1" applyProtection="1">
      <alignment vertical="center"/>
      <protection locked="0"/>
    </xf>
    <xf numFmtId="181" fontId="3" fillId="33" borderId="66" xfId="3" applyNumberFormat="1" applyFont="1" applyFill="1" applyBorder="1" applyProtection="1">
      <alignment vertical="center"/>
      <protection locked="0"/>
    </xf>
    <xf numFmtId="178" fontId="3" fillId="33" borderId="2" xfId="3" applyNumberFormat="1" applyFont="1" applyFill="1" applyBorder="1" applyProtection="1">
      <alignment vertical="center"/>
      <protection locked="0"/>
    </xf>
    <xf numFmtId="178" fontId="3" fillId="33" borderId="73" xfId="3" applyNumberFormat="1" applyFont="1" applyFill="1" applyBorder="1" applyProtection="1">
      <alignment vertical="center"/>
      <protection locked="0"/>
    </xf>
    <xf numFmtId="0" fontId="3" fillId="33" borderId="73" xfId="0" applyFont="1" applyFill="1" applyBorder="1" applyProtection="1">
      <alignment vertical="center"/>
      <protection locked="0"/>
    </xf>
    <xf numFmtId="184" fontId="3" fillId="33" borderId="73" xfId="3" applyNumberFormat="1" applyFont="1" applyFill="1" applyBorder="1" applyProtection="1">
      <alignment vertical="center"/>
      <protection locked="0"/>
    </xf>
    <xf numFmtId="183" fontId="3" fillId="33" borderId="73" xfId="0" applyNumberFormat="1" applyFont="1" applyFill="1" applyBorder="1" applyProtection="1">
      <alignment vertical="center"/>
      <protection locked="0"/>
    </xf>
    <xf numFmtId="0" fontId="3" fillId="33" borderId="84" xfId="0" applyFont="1" applyFill="1" applyBorder="1" applyProtection="1">
      <alignment vertical="center"/>
      <protection locked="0"/>
    </xf>
    <xf numFmtId="184" fontId="3" fillId="33" borderId="84" xfId="3" applyNumberFormat="1" applyFont="1" applyFill="1" applyBorder="1" applyProtection="1">
      <alignment vertical="center"/>
      <protection locked="0"/>
    </xf>
    <xf numFmtId="183" fontId="3" fillId="33" borderId="84" xfId="0" applyNumberFormat="1" applyFont="1" applyFill="1" applyBorder="1" applyProtection="1">
      <alignment vertical="center"/>
      <protection locked="0"/>
    </xf>
    <xf numFmtId="178" fontId="3" fillId="33" borderId="84" xfId="3" applyNumberFormat="1" applyFont="1" applyFill="1" applyBorder="1" applyProtection="1">
      <alignment vertical="center"/>
      <protection locked="0"/>
    </xf>
    <xf numFmtId="0" fontId="3" fillId="33" borderId="69" xfId="0" applyFont="1" applyFill="1" applyBorder="1" applyProtection="1">
      <alignment vertical="center"/>
      <protection locked="0"/>
    </xf>
    <xf numFmtId="184" fontId="3" fillId="33" borderId="69" xfId="3" applyNumberFormat="1" applyFont="1" applyFill="1" applyBorder="1" applyProtection="1">
      <alignment vertical="center"/>
      <protection locked="0"/>
    </xf>
    <xf numFmtId="183" fontId="3" fillId="33" borderId="69" xfId="0" applyNumberFormat="1" applyFont="1" applyFill="1" applyBorder="1" applyProtection="1">
      <alignment vertical="center"/>
      <protection locked="0"/>
    </xf>
    <xf numFmtId="178" fontId="3" fillId="33" borderId="69" xfId="3" applyNumberFormat="1" applyFont="1" applyFill="1" applyBorder="1" applyProtection="1">
      <alignment vertical="center"/>
      <protection locked="0"/>
    </xf>
    <xf numFmtId="0" fontId="3" fillId="33" borderId="63" xfId="0" applyFont="1" applyFill="1" applyBorder="1" applyProtection="1">
      <alignment vertical="center"/>
      <protection locked="0"/>
    </xf>
    <xf numFmtId="184" fontId="3" fillId="33" borderId="63" xfId="3" applyNumberFormat="1" applyFont="1" applyFill="1" applyBorder="1" applyProtection="1">
      <alignment vertical="center"/>
      <protection locked="0"/>
    </xf>
    <xf numFmtId="183" fontId="3" fillId="33" borderId="63" xfId="0" applyNumberFormat="1" applyFont="1" applyFill="1" applyBorder="1" applyProtection="1">
      <alignment vertical="center"/>
      <protection locked="0"/>
    </xf>
    <xf numFmtId="184" fontId="3" fillId="33" borderId="66" xfId="3" applyNumberFormat="1" applyFont="1" applyFill="1" applyBorder="1" applyProtection="1">
      <alignment vertical="center"/>
      <protection locked="0"/>
    </xf>
    <xf numFmtId="183" fontId="3" fillId="33" borderId="66" xfId="0" applyNumberFormat="1" applyFont="1" applyFill="1" applyBorder="1" applyProtection="1">
      <alignment vertical="center"/>
      <protection locked="0"/>
    </xf>
    <xf numFmtId="0" fontId="3" fillId="33" borderId="3" xfId="0" applyFont="1" applyFill="1" applyBorder="1" applyProtection="1">
      <alignment vertical="center"/>
      <protection locked="0"/>
    </xf>
    <xf numFmtId="184" fontId="3" fillId="33" borderId="3" xfId="3" applyNumberFormat="1" applyFont="1" applyFill="1" applyBorder="1" applyProtection="1">
      <alignment vertical="center"/>
      <protection locked="0"/>
    </xf>
    <xf numFmtId="9" fontId="3" fillId="33" borderId="3" xfId="0" applyNumberFormat="1" applyFont="1" applyFill="1" applyBorder="1" applyAlignment="1" applyProtection="1">
      <alignment horizontal="center" vertical="center"/>
      <protection locked="0"/>
    </xf>
    <xf numFmtId="0" fontId="5" fillId="33" borderId="88" xfId="0" applyFont="1" applyFill="1" applyBorder="1" applyAlignment="1" applyProtection="1">
      <alignment horizontal="center" vertical="center"/>
      <protection locked="0"/>
    </xf>
    <xf numFmtId="0" fontId="5" fillId="33" borderId="4" xfId="0" applyFont="1" applyFill="1" applyBorder="1" applyAlignment="1" applyProtection="1">
      <alignment horizontal="center" vertical="center"/>
      <protection locked="0"/>
    </xf>
    <xf numFmtId="0" fontId="5" fillId="33" borderId="4" xfId="0" applyFont="1" applyFill="1" applyBorder="1" applyProtection="1">
      <alignment vertical="center"/>
      <protection locked="0"/>
    </xf>
    <xf numFmtId="0" fontId="5" fillId="33" borderId="4" xfId="0" applyFont="1" applyFill="1" applyBorder="1" applyProtection="1">
      <alignment vertical="center"/>
      <protection locked="0"/>
    </xf>
    <xf numFmtId="0" fontId="5" fillId="33" borderId="72" xfId="0" applyFont="1" applyFill="1" applyBorder="1" applyAlignment="1" applyProtection="1">
      <alignment horizontal="center" vertical="center"/>
      <protection locked="0"/>
    </xf>
    <xf numFmtId="0" fontId="5" fillId="33" borderId="1" xfId="0" applyFont="1" applyFill="1" applyBorder="1" applyAlignment="1" applyProtection="1">
      <alignment horizontal="center" vertical="center"/>
      <protection locked="0"/>
    </xf>
    <xf numFmtId="0" fontId="5" fillId="33" borderId="1" xfId="0" applyFont="1" applyFill="1" applyBorder="1" applyProtection="1">
      <alignment vertical="center"/>
      <protection locked="0"/>
    </xf>
    <xf numFmtId="0" fontId="5" fillId="33" borderId="1" xfId="0" applyFont="1" applyFill="1" applyBorder="1" applyProtection="1">
      <alignment vertical="center"/>
      <protection locked="0"/>
    </xf>
    <xf numFmtId="0" fontId="5" fillId="33" borderId="87" xfId="0" applyFont="1" applyFill="1" applyBorder="1" applyAlignment="1" applyProtection="1">
      <alignment horizontal="center" vertical="center"/>
      <protection locked="0"/>
    </xf>
    <xf numFmtId="0" fontId="5" fillId="33" borderId="83" xfId="0" applyFont="1" applyFill="1" applyBorder="1" applyAlignment="1" applyProtection="1">
      <alignment horizontal="center" vertical="center"/>
      <protection locked="0"/>
    </xf>
    <xf numFmtId="0" fontId="5" fillId="33" borderId="151" xfId="0" applyFont="1" applyFill="1" applyBorder="1" applyAlignment="1" applyProtection="1">
      <alignment horizontal="center" vertical="center"/>
      <protection locked="0"/>
    </xf>
    <xf numFmtId="0" fontId="5" fillId="33" borderId="2" xfId="0" applyFont="1" applyFill="1" applyBorder="1" applyAlignment="1" applyProtection="1">
      <alignment horizontal="center" vertical="center"/>
      <protection locked="0"/>
    </xf>
    <xf numFmtId="0" fontId="5" fillId="33" borderId="2" xfId="0" applyFont="1" applyFill="1" applyBorder="1" applyProtection="1">
      <alignment vertical="center"/>
      <protection locked="0"/>
    </xf>
    <xf numFmtId="0" fontId="5" fillId="33" borderId="2" xfId="0" applyFont="1" applyFill="1" applyBorder="1" applyProtection="1">
      <alignment vertical="center"/>
      <protection locked="0"/>
    </xf>
    <xf numFmtId="0" fontId="3" fillId="33" borderId="4" xfId="0" applyFont="1" applyFill="1" applyBorder="1" applyProtection="1">
      <alignment vertical="center"/>
      <protection locked="0"/>
    </xf>
    <xf numFmtId="0" fontId="3" fillId="33" borderId="59" xfId="0" applyFont="1" applyFill="1" applyBorder="1" applyProtection="1">
      <alignment vertical="center"/>
      <protection locked="0"/>
    </xf>
    <xf numFmtId="0" fontId="3" fillId="33" borderId="1" xfId="0" applyFont="1" applyFill="1" applyBorder="1" applyProtection="1">
      <alignment vertical="center"/>
      <protection locked="0"/>
    </xf>
    <xf numFmtId="0" fontId="3" fillId="33" borderId="5" xfId="0" applyFont="1" applyFill="1" applyBorder="1" applyProtection="1">
      <alignment vertical="center"/>
      <protection locked="0"/>
    </xf>
    <xf numFmtId="0" fontId="3" fillId="33" borderId="2" xfId="0" applyFont="1" applyFill="1" applyBorder="1" applyProtection="1">
      <alignment vertical="center"/>
      <protection locked="0"/>
    </xf>
    <xf numFmtId="0" fontId="3" fillId="33" borderId="76" xfId="0" applyFont="1" applyFill="1" applyBorder="1" applyProtection="1">
      <alignment vertical="center"/>
      <protection locked="0"/>
    </xf>
  </cellXfs>
  <cellStyles count="11">
    <cellStyle name="パーセント" xfId="1" builtinId="5"/>
    <cellStyle name="パーセント 2" xfId="2" xr:uid="{00000000-0005-0000-0000-000001000000}"/>
    <cellStyle name="桁区切り" xfId="3" builtinId="6"/>
    <cellStyle name="桁区切り 2"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customXml" Target="../customXml/item3.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customXml" Target="../customXml/item2.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customXml" Target="../customXml/item1.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_rels/chart2.xml.rels>&#65279;<?xml version="1.0" encoding="utf-8" standalone="yes"?>
<Relationships xmlns="http://schemas.openxmlformats.org/package/2006/relationships">
  <Relationship Id="rId1" Type="http://schemas.openxmlformats.org/officeDocument/2006/relationships/themeOverride" Target="../theme/themeOverride2.xml" />
</Relationships>
</file>

<file path=xl/charts/_rels/chart3.xml.rels>&#65279;<?xml version="1.0" encoding="utf-8" standalone="yes"?>
<Relationships xmlns="http://schemas.openxmlformats.org/package/2006/relationships">
  <Relationship Id="rId1" Type="http://schemas.openxmlformats.org/officeDocument/2006/relationships/themeOverride" Target="../theme/themeOverride3.xml" />
</Relationships>
</file>

<file path=xl/charts/_rels/chart4.xml.rels>&#65279;<?xml version="1.0" encoding="utf-8" standalone="yes"?>
<Relationships xmlns="http://schemas.openxmlformats.org/package/2006/relationships">
  <Relationship Id="rId1" Type="http://schemas.openxmlformats.org/officeDocument/2006/relationships/themeOverride" Target="../theme/themeOverride4.xml" />
</Relationships>
</file>

<file path=xl/charts/_rels/chart5.xml.rels>&#65279;<?xml version="1.0" encoding="utf-8" standalone="yes"?>
<Relationships xmlns="http://schemas.openxmlformats.org/package/2006/relationships">
  <Relationship Id="rId1" Type="http://schemas.openxmlformats.org/officeDocument/2006/relationships/themeOverride" Target="../theme/themeOverride5.xml" />
</Relationships>
</file>

<file path=xl/charts/_rels/chart6.xml.rels>&#65279;<?xml version="1.0" encoding="utf-8" standalone="yes"?>
<Relationships xmlns="http://schemas.openxmlformats.org/package/2006/relationships">
  <Relationship Id="rId1" Type="http://schemas.openxmlformats.org/officeDocument/2006/relationships/themeOverride" Target="../theme/themeOverride6.xml" />
</Relationships>
</file>

<file path=xl/charts/_rels/chart7.xml.rels>&#65279;<?xml version="1.0" encoding="utf-8" standalone="yes"?>
<Relationships xmlns="http://schemas.openxmlformats.org/package/2006/relationships">
  <Relationship Id="rId1" Type="http://schemas.openxmlformats.org/officeDocument/2006/relationships/themeOverride" Target="../theme/themeOverride7.xml" />
</Relationships>
</file>

<file path=xl/charts/_rels/chart8.xml.rels>&#65279;<?xml version="1.0" encoding="utf-8" standalone="yes"?>
<Relationships xmlns="http://schemas.openxmlformats.org/package/2006/relationships">
  <Relationship Id="rId1" Type="http://schemas.openxmlformats.org/officeDocument/2006/relationships/themeOverride" Target="../theme/themeOverride8.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
          <c:y val="0.22563339730327245"/>
          <c:w val="1"/>
          <c:h val="0.74828964695770661"/>
        </c:manualLayout>
      </c:layout>
      <c:barChart>
        <c:barDir val="col"/>
        <c:grouping val="percentStacked"/>
        <c:varyColors val="0"/>
        <c:ser>
          <c:idx val="3"/>
          <c:order val="0"/>
          <c:tx>
            <c:strRef>
              <c:f>'総括 (2)'!$AD$14</c:f>
              <c:strCache>
                <c:ptCount val="1"/>
                <c:pt idx="0">
                  <c:v>事務費・借入金等</c:v>
                </c:pt>
              </c:strCache>
            </c:strRef>
          </c:tx>
          <c:spPr>
            <a:solidFill>
              <a:srgbClr val="4BACC6">
                <a:lumMod val="40000"/>
                <a:lumOff val="60000"/>
              </a:srgbClr>
            </a:solidFill>
            <a:ln>
              <a:solidFill>
                <a:schemeClr val="bg1">
                  <a:lumMod val="50000"/>
                </a:schemeClr>
              </a:solidFill>
            </a:ln>
            <a:effectLst/>
          </c:spPr>
          <c:invertIfNegative val="0"/>
          <c:dPt>
            <c:idx val="0"/>
            <c:invertIfNegative val="0"/>
            <c:bubble3D val="0"/>
            <c:extLst>
              <c:ext xmlns:c16="http://schemas.microsoft.com/office/drawing/2014/chart" uri="{C3380CC4-5D6E-409C-BE32-E72D297353CC}">
                <c16:uniqueId val="{00000000-84B6-4D18-81C3-5DB30E6A7849}"/>
              </c:ext>
            </c:extLst>
          </c:dPt>
          <c:dLbls>
            <c:dLbl>
              <c:idx val="0"/>
              <c:layout>
                <c:manualLayout>
                  <c:x val="1.3739957165799723E-3"/>
                  <c:y val="2.4466401529334744E-3"/>
                </c:manualLayout>
              </c:layout>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84B6-4D18-81C3-5DB30E6A7849}"/>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 (2)'!$AE$14</c:f>
              <c:numCache>
                <c:formatCode>#,##0"億円"</c:formatCode>
                <c:ptCount val="1"/>
                <c:pt idx="0">
                  <c:v>0</c:v>
                </c:pt>
              </c:numCache>
            </c:numRef>
          </c:val>
          <c:extLst>
            <c:ext xmlns:c16="http://schemas.microsoft.com/office/drawing/2014/chart" uri="{C3380CC4-5D6E-409C-BE32-E72D297353CC}">
              <c16:uniqueId val="{00000001-84B6-4D18-81C3-5DB30E6A7849}"/>
            </c:ext>
          </c:extLst>
        </c:ser>
        <c:ser>
          <c:idx val="2"/>
          <c:order val="1"/>
          <c:tx>
            <c:strRef>
              <c:f>'総括 (2)'!$AD$13</c:f>
              <c:strCache>
                <c:ptCount val="1"/>
                <c:pt idx="0">
                  <c:v>予備費</c:v>
                </c:pt>
              </c:strCache>
            </c:strRef>
          </c:tx>
          <c:spPr>
            <a:solidFill>
              <a:srgbClr val="4BACC6">
                <a:lumMod val="20000"/>
                <a:lumOff val="80000"/>
              </a:srgbClr>
            </a:solidFill>
            <a:ln>
              <a:solidFill>
                <a:schemeClr val="bg1">
                  <a:lumMod val="50000"/>
                </a:schemeClr>
              </a:solidFill>
            </a:ln>
            <a:effectLst/>
          </c:spPr>
          <c:invertIfNegative val="0"/>
          <c:dLbls>
            <c:dLbl>
              <c:idx val="0"/>
              <c:layout>
                <c:manualLayout>
                  <c:x val="0"/>
                  <c:y val="-7.5657589561724334E-3"/>
                </c:manualLayout>
              </c:layout>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84B6-4D18-81C3-5DB30E6A7849}"/>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'総括 (2)'!$AE$13</c:f>
              <c:numCache>
                <c:formatCode>#,##0"億円"</c:formatCode>
                <c:ptCount val="1"/>
                <c:pt idx="0">
                  <c:v>0</c:v>
                </c:pt>
              </c:numCache>
            </c:numRef>
          </c:val>
          <c:extLst>
            <c:ext xmlns:c16="http://schemas.microsoft.com/office/drawing/2014/chart" uri="{C3380CC4-5D6E-409C-BE32-E72D297353CC}">
              <c16:uniqueId val="{00000003-84B6-4D18-81C3-5DB30E6A7849}"/>
            </c:ext>
          </c:extLst>
        </c:ser>
        <c:ser>
          <c:idx val="1"/>
          <c:order val="2"/>
          <c:tx>
            <c:strRef>
              <c:f>'総括 (2)'!$AD$12</c:f>
              <c:strCache>
                <c:ptCount val="1"/>
                <c:pt idx="0">
                  <c:v>工事費</c:v>
                </c:pt>
              </c:strCache>
            </c:strRef>
          </c:tx>
          <c:spPr>
            <a:solidFill>
              <a:schemeClr val="accent5">
                <a:lumMod val="60000"/>
                <a:lumOff val="40000"/>
              </a:schemeClr>
            </a:solidFill>
            <a:ln w="25400">
              <a:noFill/>
            </a:ln>
          </c:spPr>
          <c:invertIfNegative val="0"/>
          <c:dPt>
            <c:idx val="0"/>
            <c:invertIfNegative val="0"/>
            <c:bubble3D val="0"/>
            <c:spPr>
              <a:solidFill>
                <a:schemeClr val="accent5">
                  <a:lumMod val="60000"/>
                  <a:lumOff val="40000"/>
                </a:schemeClr>
              </a:solidFill>
              <a:ln>
                <a:solidFill>
                  <a:schemeClr val="bg1">
                    <a:lumMod val="50000"/>
                  </a:schemeClr>
                </a:solidFill>
              </a:ln>
              <a:effectLst/>
            </c:spPr>
            <c:extLst>
              <c:ext xmlns:c16="http://schemas.microsoft.com/office/drawing/2014/chart" uri="{C3380CC4-5D6E-409C-BE32-E72D297353CC}">
                <c16:uniqueId val="{00000004-84B6-4D18-81C3-5DB30E6A7849}"/>
              </c:ext>
            </c:extLst>
          </c:dPt>
          <c:dLbls>
            <c:dLbl>
              <c:idx val="0"/>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84B6-4D18-81C3-5DB30E6A7849}"/>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'総括 (2)'!$AE$12</c:f>
              <c:numCache>
                <c:formatCode>#,##0"億円"</c:formatCode>
                <c:ptCount val="1"/>
                <c:pt idx="0">
                  <c:v>0</c:v>
                </c:pt>
              </c:numCache>
            </c:numRef>
          </c:val>
          <c:extLst>
            <c:ext xmlns:c16="http://schemas.microsoft.com/office/drawing/2014/chart" uri="{C3380CC4-5D6E-409C-BE32-E72D297353CC}">
              <c16:uniqueId val="{00000005-84B6-4D18-81C3-5DB30E6A7849}"/>
            </c:ext>
          </c:extLst>
        </c:ser>
        <c:ser>
          <c:idx val="0"/>
          <c:order val="3"/>
          <c:tx>
            <c:strRef>
              <c:f>'総括 (2)'!$AD$11</c:f>
              <c:strCache>
                <c:ptCount val="1"/>
                <c:pt idx="0">
                  <c:v>土地整備費・補償費</c:v>
                </c:pt>
              </c:strCache>
            </c:strRef>
          </c:tx>
          <c:spPr>
            <a:solidFill>
              <a:schemeClr val="accent5">
                <a:lumMod val="40000"/>
                <a:lumOff val="60000"/>
              </a:schemeClr>
            </a:solidFill>
            <a:ln>
              <a:solidFill>
                <a:schemeClr val="bg1">
                  <a:lumMod val="50000"/>
                </a:schemeClr>
              </a:solidFill>
            </a:ln>
            <a:effectLst/>
          </c:spPr>
          <c:invertIfNegative val="0"/>
          <c:dLbls>
            <c:dLbl>
              <c:idx val="0"/>
              <c:spPr>
                <a:noFill/>
                <a:ln w="25400">
                  <a:noFill/>
                </a:ln>
              </c:spPr>
              <c:txPr>
                <a:bodyPr rot="0" spcFirstLastPara="1" vertOverflow="clip" horzOverflow="clip" vert="horz" wrap="none" lIns="38100" tIns="0" rIns="38100" bIns="0" anchor="t" anchorCtr="0">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84B6-4D18-81C3-5DB30E6A7849}"/>
                </c:ext>
              </c:extLst>
            </c:dLbl>
            <c:spPr>
              <a:noFill/>
              <a:ln w="25400">
                <a:noFill/>
              </a:ln>
            </c:spPr>
            <c:txPr>
              <a:bodyPr wrap="square" lIns="38100" tIns="19050" rIns="38100" bIns="19050" anchor="ctr">
                <a:spAutoFit/>
              </a:bodyPr>
              <a:lstStyle/>
              <a:p>
                <a:pPr>
                  <a:defRPr>
                    <a:solidFill>
                      <a:schemeClr val="tx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 (2)'!$AE$11</c:f>
              <c:numCache>
                <c:formatCode>#,##0"億円"</c:formatCode>
                <c:ptCount val="1"/>
                <c:pt idx="0">
                  <c:v>0</c:v>
                </c:pt>
              </c:numCache>
            </c:numRef>
          </c:val>
          <c:extLst>
            <c:ext xmlns:c16="http://schemas.microsoft.com/office/drawing/2014/chart" uri="{C3380CC4-5D6E-409C-BE32-E72D297353CC}">
              <c16:uniqueId val="{00000007-84B6-4D18-81C3-5DB30E6A7849}"/>
            </c:ext>
          </c:extLst>
        </c:ser>
        <c:ser>
          <c:idx val="4"/>
          <c:order val="4"/>
          <c:tx>
            <c:strRef>
              <c:f>'総括 (2)'!$AD$10</c:f>
              <c:strCache>
                <c:ptCount val="1"/>
                <c:pt idx="0">
                  <c:v>調査計画費</c:v>
                </c:pt>
              </c:strCache>
            </c:strRef>
          </c:tx>
          <c:spPr>
            <a:solidFill>
              <a:srgbClr val="4BACC6">
                <a:lumMod val="20000"/>
                <a:lumOff val="80000"/>
              </a:srgbClr>
            </a:solidFill>
            <a:ln>
              <a:solidFill>
                <a:schemeClr val="bg1">
                  <a:lumMod val="50000"/>
                </a:schemeClr>
              </a:solidFill>
            </a:ln>
          </c:spPr>
          <c:invertIfNegative val="0"/>
          <c:dLbls>
            <c:dLbl>
              <c:idx val="0"/>
              <c:spPr>
                <a:noFill/>
                <a:ln w="25400">
                  <a:noFill/>
                </a:ln>
              </c:spPr>
              <c:txPr>
                <a:bodyPr vertOverflow="clip" horzOverflow="clip" wrap="none" lIns="38100" tIns="19050" rIns="38100" bIns="19050" anchor="ctr">
                  <a:noAutofit/>
                </a:bodyPr>
                <a:lstStyle/>
                <a:p>
                  <a:pPr>
                    <a:defRPr sz="900"/>
                  </a:pPr>
                  <a:endParaRPr lang="ja-JP"/>
                </a:p>
              </c:txPr>
              <c:dLblPos val="ct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84B6-4D18-81C3-5DB30E6A7849}"/>
                </c:ext>
              </c:extLst>
            </c:dLbl>
            <c:spPr>
              <a:noFill/>
              <a:ln w="25400">
                <a:noFill/>
              </a:ln>
            </c:spPr>
            <c:txPr>
              <a:bodyPr vertOverflow="clip" horzOverflow="clip" wrap="none" lIns="38100" tIns="19050" rIns="38100" bIns="19050" anchor="ctr">
                <a:noAutofit/>
              </a:bodyPr>
              <a:lstStyle/>
              <a:p>
                <a:pPr>
                  <a:defRPr sz="900"/>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 (2)'!$AE$10</c:f>
              <c:numCache>
                <c:formatCode>#,##0"億円"</c:formatCode>
                <c:ptCount val="1"/>
                <c:pt idx="0">
                  <c:v>0</c:v>
                </c:pt>
              </c:numCache>
            </c:numRef>
          </c:val>
          <c:extLst>
            <c:ext xmlns:c16="http://schemas.microsoft.com/office/drawing/2014/chart" uri="{C3380CC4-5D6E-409C-BE32-E72D297353CC}">
              <c16:uniqueId val="{00000009-84B6-4D18-81C3-5DB30E6A7849}"/>
            </c:ext>
          </c:extLst>
        </c:ser>
        <c:dLbls>
          <c:showLegendKey val="0"/>
          <c:showVal val="0"/>
          <c:showCatName val="0"/>
          <c:showSerName val="0"/>
          <c:showPercent val="0"/>
          <c:showBubbleSize val="0"/>
        </c:dLbls>
        <c:gapWidth val="55"/>
        <c:overlap val="100"/>
        <c:axId val="1053817504"/>
        <c:axId val="1"/>
      </c:barChart>
      <c:catAx>
        <c:axId val="105381750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1053817504"/>
        <c:crossesAt val="1"/>
        <c:crossBetween val="between"/>
      </c:valAx>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
          <c:y val="2.4363600272374813E-2"/>
          <c:w val="1"/>
          <c:h val="0.88498320271570752"/>
        </c:manualLayout>
      </c:layout>
      <c:barChart>
        <c:barDir val="col"/>
        <c:grouping val="percentStacked"/>
        <c:varyColors val="0"/>
        <c:ser>
          <c:idx val="1"/>
          <c:order val="0"/>
          <c:tx>
            <c:strRef>
              <c:f>'総括 (2)'!$AF$12</c:f>
              <c:strCache>
                <c:ptCount val="1"/>
                <c:pt idx="0">
                  <c:v>従前資産</c:v>
                </c:pt>
              </c:strCache>
            </c:strRef>
          </c:tx>
          <c:spPr>
            <a:solidFill>
              <a:srgbClr val="9BBB59">
                <a:lumMod val="60000"/>
                <a:lumOff val="40000"/>
              </a:srgbClr>
            </a:solidFill>
            <a:ln w="25400">
              <a:noFill/>
            </a:ln>
          </c:spPr>
          <c:invertIfNegative val="0"/>
          <c:dPt>
            <c:idx val="0"/>
            <c:invertIfNegative val="0"/>
            <c:bubble3D val="0"/>
            <c:spPr>
              <a:solidFill>
                <a:srgbClr val="9BBB59">
                  <a:lumMod val="60000"/>
                  <a:lumOff val="40000"/>
                </a:srgbClr>
              </a:solidFill>
              <a:ln>
                <a:solidFill>
                  <a:schemeClr val="bg1">
                    <a:lumMod val="50000"/>
                  </a:schemeClr>
                </a:solidFill>
              </a:ln>
              <a:effectLst/>
            </c:spPr>
            <c:extLst>
              <c:ext xmlns:c16="http://schemas.microsoft.com/office/drawing/2014/chart" uri="{C3380CC4-5D6E-409C-BE32-E72D297353CC}">
                <c16:uniqueId val="{00000000-01F3-46F3-90A7-F238D3C98D06}"/>
              </c:ext>
            </c:extLst>
          </c:dPt>
          <c:dLbls>
            <c:dLbl>
              <c:idx val="0"/>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01F3-46F3-90A7-F238D3C98D06}"/>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'総括 (2)'!$AG$12</c:f>
              <c:numCache>
                <c:formatCode>#,##0"億円"</c:formatCode>
                <c:ptCount val="1"/>
                <c:pt idx="0">
                  <c:v>0</c:v>
                </c:pt>
              </c:numCache>
            </c:numRef>
          </c:val>
          <c:extLst>
            <c:ext xmlns:c16="http://schemas.microsoft.com/office/drawing/2014/chart" uri="{C3380CC4-5D6E-409C-BE32-E72D297353CC}">
              <c16:uniqueId val="{00000001-01F3-46F3-90A7-F238D3C98D06}"/>
            </c:ext>
          </c:extLst>
        </c:ser>
        <c:ser>
          <c:idx val="2"/>
          <c:order val="1"/>
          <c:tx>
            <c:strRef>
              <c:f>'総括 (2)'!$AF$11</c:f>
              <c:strCache>
                <c:ptCount val="1"/>
                <c:pt idx="0">
                  <c:v>保留床処分金</c:v>
                </c:pt>
              </c:strCache>
            </c:strRef>
          </c:tx>
          <c:spPr>
            <a:solidFill>
              <a:schemeClr val="accent4">
                <a:lumMod val="60000"/>
                <a:lumOff val="40000"/>
              </a:schemeClr>
            </a:solidFill>
            <a:ln>
              <a:solidFill>
                <a:schemeClr val="bg1">
                  <a:lumMod val="50000"/>
                </a:schemeClr>
              </a:solidFill>
            </a:ln>
            <a:effectLst/>
          </c:spPr>
          <c:invertIfNegative val="0"/>
          <c:dLbls>
            <c:dLbl>
              <c:idx val="0"/>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01F3-46F3-90A7-F238D3C98D06}"/>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'総括 (2)'!$AG$11</c:f>
              <c:numCache>
                <c:formatCode>#,##0"億円"</c:formatCode>
                <c:ptCount val="1"/>
                <c:pt idx="0">
                  <c:v>0</c:v>
                </c:pt>
              </c:numCache>
            </c:numRef>
          </c:val>
          <c:extLst>
            <c:ext xmlns:c16="http://schemas.microsoft.com/office/drawing/2014/chart" uri="{C3380CC4-5D6E-409C-BE32-E72D297353CC}">
              <c16:uniqueId val="{00000003-01F3-46F3-90A7-F238D3C98D06}"/>
            </c:ext>
          </c:extLst>
        </c:ser>
        <c:ser>
          <c:idx val="3"/>
          <c:order val="2"/>
          <c:tx>
            <c:strRef>
              <c:f>'総括 (2)'!$AF$10</c:f>
              <c:strCache>
                <c:ptCount val="1"/>
                <c:pt idx="0">
                  <c:v>補助金等</c:v>
                </c:pt>
              </c:strCache>
            </c:strRef>
          </c:tx>
          <c:spPr>
            <a:solidFill>
              <a:srgbClr val="F79646">
                <a:lumMod val="60000"/>
                <a:lumOff val="40000"/>
              </a:srgbClr>
            </a:solidFill>
            <a:ln>
              <a:solidFill>
                <a:schemeClr val="bg1">
                  <a:lumMod val="50000"/>
                </a:schemeClr>
              </a:solidFill>
            </a:ln>
            <a:effectLst/>
          </c:spPr>
          <c:invertIfNegative val="0"/>
          <c:dLbls>
            <c:dLbl>
              <c:idx val="0"/>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1F3-46F3-90A7-F238D3C98D06}"/>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 (2)'!$AG$10</c:f>
              <c:numCache>
                <c:formatCode>#,##0"億円"</c:formatCode>
                <c:ptCount val="1"/>
                <c:pt idx="0">
                  <c:v>0</c:v>
                </c:pt>
              </c:numCache>
            </c:numRef>
          </c:val>
          <c:extLst>
            <c:ext xmlns:c16="http://schemas.microsoft.com/office/drawing/2014/chart" uri="{C3380CC4-5D6E-409C-BE32-E72D297353CC}">
              <c16:uniqueId val="{00000005-01F3-46F3-90A7-F238D3C98D06}"/>
            </c:ext>
          </c:extLst>
        </c:ser>
        <c:dLbls>
          <c:showLegendKey val="0"/>
          <c:showVal val="0"/>
          <c:showCatName val="0"/>
          <c:showSerName val="0"/>
          <c:showPercent val="0"/>
          <c:showBubbleSize val="0"/>
        </c:dLbls>
        <c:gapWidth val="55"/>
        <c:overlap val="100"/>
        <c:axId val="1053822080"/>
        <c:axId val="1"/>
      </c:barChart>
      <c:catAx>
        <c:axId val="105382208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1053822080"/>
        <c:crossesAt val="1"/>
        <c:crossBetween val="between"/>
      </c:valAx>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
          <c:y val="0.20934142231388439"/>
          <c:w val="1"/>
          <c:h val="0.69892054999066777"/>
        </c:manualLayout>
      </c:layout>
      <c:barChart>
        <c:barDir val="col"/>
        <c:grouping val="percentStacked"/>
        <c:varyColors val="0"/>
        <c:ser>
          <c:idx val="2"/>
          <c:order val="0"/>
          <c:tx>
            <c:strRef>
              <c:f>'総括 (2)'!$AH$13</c:f>
              <c:strCache>
                <c:ptCount val="1"/>
                <c:pt idx="0">
                  <c:v>商業</c:v>
                </c:pt>
              </c:strCache>
            </c:strRef>
          </c:tx>
          <c:spPr>
            <a:solidFill>
              <a:srgbClr val="FF99CC"/>
            </a:solidFill>
            <a:ln>
              <a:solidFill>
                <a:schemeClr val="bg1">
                  <a:lumMod val="50000"/>
                </a:schemeClr>
              </a:solidFill>
            </a:ln>
            <a:effectLst/>
          </c:spPr>
          <c:invertIfNegative val="0"/>
          <c:dLbls>
            <c:dLbl>
              <c:idx val="0"/>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884-49A1-86F7-E53E9B21178E}"/>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'総括 (2)'!$AI$13</c:f>
              <c:numCache>
                <c:formatCode>#,##0"億円"</c:formatCode>
                <c:ptCount val="1"/>
                <c:pt idx="0">
                  <c:v>0</c:v>
                </c:pt>
              </c:numCache>
            </c:numRef>
          </c:val>
          <c:extLst>
            <c:ext xmlns:c16="http://schemas.microsoft.com/office/drawing/2014/chart" uri="{C3380CC4-5D6E-409C-BE32-E72D297353CC}">
              <c16:uniqueId val="{00000001-3884-49A1-86F7-E53E9B21178E}"/>
            </c:ext>
          </c:extLst>
        </c:ser>
        <c:ser>
          <c:idx val="4"/>
          <c:order val="1"/>
          <c:tx>
            <c:strRef>
              <c:f>'総括 (2)'!$AH$11</c:f>
              <c:strCache>
                <c:ptCount val="1"/>
                <c:pt idx="0">
                  <c:v>住宅</c:v>
                </c:pt>
              </c:strCache>
            </c:strRef>
          </c:tx>
          <c:spPr>
            <a:solidFill>
              <a:srgbClr val="FFFF00"/>
            </a:solidFill>
            <a:ln>
              <a:solidFill>
                <a:schemeClr val="bg1">
                  <a:lumMod val="50000"/>
                </a:schemeClr>
              </a:solidFill>
            </a:ln>
          </c:spPr>
          <c:invertIfNegative val="0"/>
          <c:dLbls>
            <c:dLbl>
              <c:idx val="0"/>
              <c:spPr>
                <a:noFill/>
                <a:ln w="25400">
                  <a:noFill/>
                </a:ln>
              </c:spPr>
              <c:txPr>
                <a:bodyPr wrap="square" lIns="38100" tIns="19050" rIns="38100" bIns="19050" anchor="ctr">
                  <a:noAutofit/>
                </a:bodyPr>
                <a:lstStyle/>
                <a:p>
                  <a:pPr>
                    <a:defRPr sz="9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884-49A1-86F7-E53E9B21178E}"/>
                </c:ext>
              </c:extLst>
            </c:dLbl>
            <c:spPr>
              <a:noFill/>
              <a:ln w="25400">
                <a:noFill/>
              </a:ln>
            </c:spPr>
            <c:txPr>
              <a:bodyPr wrap="square" lIns="38100" tIns="19050" rIns="38100" bIns="19050" anchor="ctr">
                <a:spAutoFit/>
              </a:bodyPr>
              <a:lstStyle/>
              <a:p>
                <a:pPr>
                  <a:defRPr sz="900"/>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 (2)'!$AI$11</c:f>
              <c:numCache>
                <c:formatCode>#,##0"億円"</c:formatCode>
                <c:ptCount val="1"/>
                <c:pt idx="0">
                  <c:v>0</c:v>
                </c:pt>
              </c:numCache>
            </c:numRef>
          </c:val>
          <c:extLst>
            <c:ext xmlns:c16="http://schemas.microsoft.com/office/drawing/2014/chart" uri="{C3380CC4-5D6E-409C-BE32-E72D297353CC}">
              <c16:uniqueId val="{00000003-3884-49A1-86F7-E53E9B21178E}"/>
            </c:ext>
          </c:extLst>
        </c:ser>
        <c:ser>
          <c:idx val="0"/>
          <c:order val="2"/>
          <c:tx>
            <c:strRef>
              <c:f>'総括 (2)'!$AH$10</c:f>
              <c:strCache>
                <c:ptCount val="1"/>
                <c:pt idx="0">
                  <c:v>ホテル</c:v>
                </c:pt>
              </c:strCache>
            </c:strRef>
          </c:tx>
          <c:spPr>
            <a:solidFill>
              <a:srgbClr val="FFC000"/>
            </a:solidFill>
            <a:ln>
              <a:solidFill>
                <a:sysClr val="window" lastClr="FFFFFF">
                  <a:lumMod val="50000"/>
                </a:sysClr>
              </a:solidFill>
            </a:ln>
          </c:spPr>
          <c:invertIfNegative val="0"/>
          <c:dLbls>
            <c:dLbl>
              <c:idx val="0"/>
              <c:spPr>
                <a:noFill/>
                <a:ln w="25400">
                  <a:noFill/>
                </a:ln>
              </c:spPr>
              <c:txPr>
                <a:bodyPr wrap="square" lIns="38100" tIns="19050" rIns="38100" bIns="19050" anchor="ctr">
                  <a:spAutoFit/>
                </a:bodyPr>
                <a:lstStyle/>
                <a:p>
                  <a:pPr>
                    <a:defRPr sz="9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3884-49A1-86F7-E53E9B21178E}"/>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'総括 (2)'!$AI$10</c:f>
              <c:numCache>
                <c:formatCode>#,##0"億円"</c:formatCode>
                <c:ptCount val="1"/>
                <c:pt idx="0">
                  <c:v>0</c:v>
                </c:pt>
              </c:numCache>
            </c:numRef>
          </c:val>
          <c:extLst>
            <c:ext xmlns:c16="http://schemas.microsoft.com/office/drawing/2014/chart" uri="{C3380CC4-5D6E-409C-BE32-E72D297353CC}">
              <c16:uniqueId val="{00000005-3884-49A1-86F7-E53E9B21178E}"/>
            </c:ext>
          </c:extLst>
        </c:ser>
        <c:dLbls>
          <c:showLegendKey val="0"/>
          <c:showVal val="0"/>
          <c:showCatName val="0"/>
          <c:showSerName val="0"/>
          <c:showPercent val="0"/>
          <c:showBubbleSize val="0"/>
        </c:dLbls>
        <c:gapWidth val="55"/>
        <c:overlap val="100"/>
        <c:axId val="1053822496"/>
        <c:axId val="1"/>
      </c:barChart>
      <c:catAx>
        <c:axId val="105382249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1053822496"/>
        <c:crossesAt val="1"/>
        <c:crossBetween val="between"/>
      </c:valAx>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
          <c:y val="0.29062412275900995"/>
          <c:w val="1"/>
          <c:h val="0.49123410541709572"/>
        </c:manualLayout>
      </c:layout>
      <c:barChart>
        <c:barDir val="col"/>
        <c:grouping val="percentStacked"/>
        <c:varyColors val="0"/>
        <c:ser>
          <c:idx val="3"/>
          <c:order val="0"/>
          <c:tx>
            <c:strRef>
              <c:f>'総括 (2)'!$AB$14</c:f>
              <c:strCache>
                <c:ptCount val="1"/>
                <c:pt idx="0">
                  <c:v>従前（権変）</c:v>
                </c:pt>
              </c:strCache>
            </c:strRef>
          </c:tx>
          <c:spPr>
            <a:solidFill>
              <a:schemeClr val="accent3">
                <a:lumMod val="60000"/>
                <a:lumOff val="40000"/>
              </a:schemeClr>
            </a:solidFill>
            <a:ln>
              <a:solidFill>
                <a:schemeClr val="bg1">
                  <a:lumMod val="50000"/>
                </a:schemeClr>
              </a:solidFill>
            </a:ln>
            <a:effectLst/>
          </c:spPr>
          <c:invertIfNegative val="0"/>
          <c:dLbls>
            <c:dLbl>
              <c:idx val="0"/>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A166-4C5C-B293-27CEAF852093}"/>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 (2)'!$AC$14</c:f>
              <c:numCache>
                <c:formatCode>#,##0"億円"</c:formatCode>
                <c:ptCount val="1"/>
                <c:pt idx="0">
                  <c:v>0</c:v>
                </c:pt>
              </c:numCache>
            </c:numRef>
          </c:val>
          <c:extLst>
            <c:ext xmlns:c16="http://schemas.microsoft.com/office/drawing/2014/chart" uri="{C3380CC4-5D6E-409C-BE32-E72D297353CC}">
              <c16:uniqueId val="{00000001-A166-4C5C-B293-27CEAF852093}"/>
            </c:ext>
          </c:extLst>
        </c:ser>
        <c:ser>
          <c:idx val="2"/>
          <c:order val="1"/>
          <c:tx>
            <c:strRef>
              <c:f>'総括 (2)'!$AB$13</c:f>
              <c:strCache>
                <c:ptCount val="1"/>
                <c:pt idx="0">
                  <c:v>従前（転出）</c:v>
                </c:pt>
              </c:strCache>
            </c:strRef>
          </c:tx>
          <c:spPr>
            <a:solidFill>
              <a:schemeClr val="accent3">
                <a:lumMod val="60000"/>
                <a:lumOff val="40000"/>
              </a:schemeClr>
            </a:solidFill>
            <a:ln>
              <a:solidFill>
                <a:schemeClr val="bg1">
                  <a:lumMod val="50000"/>
                </a:schemeClr>
              </a:solidFill>
            </a:ln>
            <a:effectLst/>
          </c:spPr>
          <c:invertIfNegative val="0"/>
          <c:dLbls>
            <c:dLbl>
              <c:idx val="0"/>
              <c:layout>
                <c:manualLayout>
                  <c:x val="-1.4810227373263735E-2"/>
                  <c:y val="1.3711856862239945E-3"/>
                </c:manualLayout>
              </c:layout>
              <c:spPr>
                <a:noFill/>
                <a:ln>
                  <a:noFill/>
                </a:ln>
              </c:spPr>
              <c:txPr>
                <a:bodyPr rot="0" vert="horz" lIns="38100" tIns="19050" rIns="38100" bIns="19050">
                  <a:noAutofit/>
                </a:bodyPr>
                <a:lstStyle/>
                <a:p>
                  <a:pPr>
                    <a:defRPr sz="9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A166-4C5C-B293-27CEAF852093}"/>
                </c:ext>
              </c:extLst>
            </c:dLbl>
            <c:spPr>
              <a:noFill/>
              <a:ln w="25400">
                <a:noFill/>
              </a:ln>
            </c:spPr>
            <c:txPr>
              <a:bodyPr rot="0" vert="horz" lIns="38100" tIns="19050" rIns="38100" bIns="19050">
                <a:spAutoFit/>
              </a:bodyPr>
              <a:lstStyle/>
              <a:p>
                <a:pPr>
                  <a:defRPr sz="9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'総括 (2)'!$AC$13</c:f>
              <c:numCache>
                <c:formatCode>#,##0"億円"</c:formatCode>
                <c:ptCount val="1"/>
                <c:pt idx="0">
                  <c:v>0</c:v>
                </c:pt>
              </c:numCache>
            </c:numRef>
          </c:val>
          <c:extLst>
            <c:ext xmlns:c16="http://schemas.microsoft.com/office/drawing/2014/chart" uri="{C3380CC4-5D6E-409C-BE32-E72D297353CC}">
              <c16:uniqueId val="{00000003-A166-4C5C-B293-27CEAF852093}"/>
            </c:ext>
          </c:extLst>
        </c:ser>
        <c:dLbls>
          <c:showLegendKey val="0"/>
          <c:showVal val="0"/>
          <c:showCatName val="0"/>
          <c:showSerName val="0"/>
          <c:showPercent val="0"/>
          <c:showBubbleSize val="0"/>
        </c:dLbls>
        <c:gapWidth val="55"/>
        <c:overlap val="100"/>
        <c:axId val="1053810016"/>
        <c:axId val="1"/>
      </c:barChart>
      <c:catAx>
        <c:axId val="1053810016"/>
        <c:scaling>
          <c:orientation val="minMax"/>
        </c:scaling>
        <c:delete val="1"/>
        <c:axPos val="b"/>
        <c:majorTickMark val="out"/>
        <c:minorTickMark val="none"/>
        <c:tickLblPos val="nextTo"/>
        <c:crossAx val="1"/>
        <c:crossesAt val="0"/>
        <c:auto val="1"/>
        <c:lblAlgn val="ctr"/>
        <c:lblOffset val="100"/>
        <c:noMultiLvlLbl val="0"/>
      </c:catAx>
      <c:valAx>
        <c:axId val="1"/>
        <c:scaling>
          <c:orientation val="minMax"/>
          <c:min val="0"/>
        </c:scaling>
        <c:delete val="1"/>
        <c:axPos val="l"/>
        <c:numFmt formatCode="0%" sourceLinked="1"/>
        <c:majorTickMark val="out"/>
        <c:minorTickMark val="none"/>
        <c:tickLblPos val="nextTo"/>
        <c:crossAx val="1053810016"/>
        <c:crossesAt val="1"/>
        <c:crossBetween val="between"/>
      </c:valAx>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
          <c:y val="0.22563339730327245"/>
          <c:w val="1"/>
          <c:h val="0.74828964695770661"/>
        </c:manualLayout>
      </c:layout>
      <c:barChart>
        <c:barDir val="col"/>
        <c:grouping val="percentStacked"/>
        <c:varyColors val="0"/>
        <c:ser>
          <c:idx val="3"/>
          <c:order val="0"/>
          <c:tx>
            <c:strRef>
              <c:f>総括!$AC$13</c:f>
              <c:strCache>
                <c:ptCount val="1"/>
                <c:pt idx="0">
                  <c:v>事務費・借入金等</c:v>
                </c:pt>
              </c:strCache>
            </c:strRef>
          </c:tx>
          <c:spPr>
            <a:solidFill>
              <a:srgbClr val="4BACC6">
                <a:lumMod val="40000"/>
                <a:lumOff val="60000"/>
              </a:srgbClr>
            </a:solidFill>
            <a:ln>
              <a:solidFill>
                <a:schemeClr val="bg1">
                  <a:lumMod val="50000"/>
                </a:schemeClr>
              </a:solidFill>
            </a:ln>
            <a:effectLst/>
          </c:spPr>
          <c:invertIfNegative val="0"/>
          <c:dPt>
            <c:idx val="0"/>
            <c:invertIfNegative val="0"/>
            <c:bubble3D val="0"/>
            <c:extLst>
              <c:ext xmlns:c16="http://schemas.microsoft.com/office/drawing/2014/chart" uri="{C3380CC4-5D6E-409C-BE32-E72D297353CC}">
                <c16:uniqueId val="{00000000-543A-4434-A93A-86780A4EE9BF}"/>
              </c:ext>
            </c:extLst>
          </c:dPt>
          <c:dLbls>
            <c:dLbl>
              <c:idx val="0"/>
              <c:layout>
                <c:manualLayout>
                  <c:x val="1.3739957165799723E-3"/>
                  <c:y val="2.4466401529334744E-3"/>
                </c:manualLayout>
              </c:layout>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543A-4434-A93A-86780A4EE9BF}"/>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総括!$AD$13</c:f>
              <c:numCache>
                <c:formatCode>#,##0"億円"</c:formatCode>
                <c:ptCount val="1"/>
                <c:pt idx="0">
                  <c:v>0</c:v>
                </c:pt>
              </c:numCache>
            </c:numRef>
          </c:val>
          <c:extLst>
            <c:ext xmlns:c16="http://schemas.microsoft.com/office/drawing/2014/chart" uri="{C3380CC4-5D6E-409C-BE32-E72D297353CC}">
              <c16:uniqueId val="{00000001-543A-4434-A93A-86780A4EE9BF}"/>
            </c:ext>
          </c:extLst>
        </c:ser>
        <c:ser>
          <c:idx val="2"/>
          <c:order val="1"/>
          <c:tx>
            <c:strRef>
              <c:f>総括!$AC$12</c:f>
              <c:strCache>
                <c:ptCount val="1"/>
                <c:pt idx="0">
                  <c:v>予備費</c:v>
                </c:pt>
              </c:strCache>
            </c:strRef>
          </c:tx>
          <c:spPr>
            <a:solidFill>
              <a:srgbClr val="4BACC6">
                <a:lumMod val="20000"/>
                <a:lumOff val="80000"/>
              </a:srgbClr>
            </a:solidFill>
            <a:ln>
              <a:solidFill>
                <a:schemeClr val="bg1">
                  <a:lumMod val="50000"/>
                </a:schemeClr>
              </a:solidFill>
            </a:ln>
            <a:effectLst/>
          </c:spPr>
          <c:invertIfNegative val="0"/>
          <c:dLbls>
            <c:dLbl>
              <c:idx val="0"/>
              <c:layout>
                <c:manualLayout>
                  <c:x val="0"/>
                  <c:y val="-7.5657589561724334E-3"/>
                </c:manualLayout>
              </c:layout>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543A-4434-A93A-86780A4EE9BF}"/>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総括!$AD$12</c:f>
              <c:numCache>
                <c:formatCode>#,##0"億円"</c:formatCode>
                <c:ptCount val="1"/>
                <c:pt idx="0">
                  <c:v>0</c:v>
                </c:pt>
              </c:numCache>
            </c:numRef>
          </c:val>
          <c:extLst>
            <c:ext xmlns:c16="http://schemas.microsoft.com/office/drawing/2014/chart" uri="{C3380CC4-5D6E-409C-BE32-E72D297353CC}">
              <c16:uniqueId val="{00000003-543A-4434-A93A-86780A4EE9BF}"/>
            </c:ext>
          </c:extLst>
        </c:ser>
        <c:ser>
          <c:idx val="1"/>
          <c:order val="2"/>
          <c:tx>
            <c:strRef>
              <c:f>総括!$AC$11</c:f>
              <c:strCache>
                <c:ptCount val="1"/>
                <c:pt idx="0">
                  <c:v>工事費</c:v>
                </c:pt>
              </c:strCache>
            </c:strRef>
          </c:tx>
          <c:spPr>
            <a:solidFill>
              <a:schemeClr val="accent5">
                <a:lumMod val="60000"/>
                <a:lumOff val="40000"/>
              </a:schemeClr>
            </a:solidFill>
            <a:ln w="25400">
              <a:noFill/>
            </a:ln>
          </c:spPr>
          <c:invertIfNegative val="0"/>
          <c:dPt>
            <c:idx val="0"/>
            <c:invertIfNegative val="0"/>
            <c:bubble3D val="0"/>
            <c:spPr>
              <a:solidFill>
                <a:schemeClr val="accent5">
                  <a:lumMod val="60000"/>
                  <a:lumOff val="40000"/>
                </a:schemeClr>
              </a:solidFill>
              <a:ln>
                <a:solidFill>
                  <a:schemeClr val="bg1">
                    <a:lumMod val="50000"/>
                  </a:schemeClr>
                </a:solidFill>
              </a:ln>
              <a:effectLst/>
            </c:spPr>
            <c:extLst>
              <c:ext xmlns:c16="http://schemas.microsoft.com/office/drawing/2014/chart" uri="{C3380CC4-5D6E-409C-BE32-E72D297353CC}">
                <c16:uniqueId val="{00000004-543A-4434-A93A-86780A4EE9BF}"/>
              </c:ext>
            </c:extLst>
          </c:dPt>
          <c:dLbls>
            <c:dLbl>
              <c:idx val="0"/>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543A-4434-A93A-86780A4EE9BF}"/>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総括!$AD$11</c:f>
              <c:numCache>
                <c:formatCode>#,##0"億円"</c:formatCode>
                <c:ptCount val="1"/>
                <c:pt idx="0">
                  <c:v>0</c:v>
                </c:pt>
              </c:numCache>
            </c:numRef>
          </c:val>
          <c:extLst>
            <c:ext xmlns:c16="http://schemas.microsoft.com/office/drawing/2014/chart" uri="{C3380CC4-5D6E-409C-BE32-E72D297353CC}">
              <c16:uniqueId val="{00000005-543A-4434-A93A-86780A4EE9BF}"/>
            </c:ext>
          </c:extLst>
        </c:ser>
        <c:ser>
          <c:idx val="0"/>
          <c:order val="3"/>
          <c:tx>
            <c:strRef>
              <c:f>総括!$AC$10</c:f>
              <c:strCache>
                <c:ptCount val="1"/>
                <c:pt idx="0">
                  <c:v>土地整備費・補償費</c:v>
                </c:pt>
              </c:strCache>
            </c:strRef>
          </c:tx>
          <c:spPr>
            <a:solidFill>
              <a:schemeClr val="accent5">
                <a:lumMod val="40000"/>
                <a:lumOff val="60000"/>
              </a:schemeClr>
            </a:solidFill>
            <a:ln>
              <a:solidFill>
                <a:schemeClr val="bg1">
                  <a:lumMod val="50000"/>
                </a:schemeClr>
              </a:solidFill>
            </a:ln>
            <a:effectLst/>
          </c:spPr>
          <c:invertIfNegative val="0"/>
          <c:dLbls>
            <c:dLbl>
              <c:idx val="0"/>
              <c:spPr>
                <a:noFill/>
                <a:ln w="25400">
                  <a:noFill/>
                </a:ln>
              </c:spPr>
              <c:txPr>
                <a:bodyPr rot="0" spcFirstLastPara="1" vertOverflow="clip" horzOverflow="clip" vert="horz" wrap="none" lIns="38100" tIns="0" rIns="38100" bIns="0" anchor="t" anchorCtr="0">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543A-4434-A93A-86780A4EE9BF}"/>
                </c:ext>
              </c:extLst>
            </c:dLbl>
            <c:spPr>
              <a:noFill/>
              <a:ln w="25400">
                <a:noFill/>
              </a:ln>
            </c:spPr>
            <c:txPr>
              <a:bodyPr wrap="square" lIns="38100" tIns="19050" rIns="38100" bIns="19050" anchor="ctr">
                <a:spAutoFit/>
              </a:bodyPr>
              <a:lstStyle/>
              <a:p>
                <a:pPr>
                  <a:defRPr>
                    <a:solidFill>
                      <a:schemeClr val="tx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総括!$AD$10</c:f>
              <c:numCache>
                <c:formatCode>#,##0"億円"</c:formatCode>
                <c:ptCount val="1"/>
                <c:pt idx="0">
                  <c:v>0</c:v>
                </c:pt>
              </c:numCache>
            </c:numRef>
          </c:val>
          <c:extLst>
            <c:ext xmlns:c16="http://schemas.microsoft.com/office/drawing/2014/chart" uri="{C3380CC4-5D6E-409C-BE32-E72D297353CC}">
              <c16:uniqueId val="{00000007-543A-4434-A93A-86780A4EE9BF}"/>
            </c:ext>
          </c:extLst>
        </c:ser>
        <c:ser>
          <c:idx val="4"/>
          <c:order val="4"/>
          <c:tx>
            <c:strRef>
              <c:f>総括!$AC$9</c:f>
              <c:strCache>
                <c:ptCount val="1"/>
                <c:pt idx="0">
                  <c:v>調査計画費</c:v>
                </c:pt>
              </c:strCache>
            </c:strRef>
          </c:tx>
          <c:spPr>
            <a:solidFill>
              <a:srgbClr val="4BACC6">
                <a:lumMod val="20000"/>
                <a:lumOff val="80000"/>
              </a:srgbClr>
            </a:solidFill>
            <a:ln>
              <a:solidFill>
                <a:schemeClr val="bg1">
                  <a:lumMod val="50000"/>
                </a:schemeClr>
              </a:solidFill>
            </a:ln>
          </c:spPr>
          <c:invertIfNegative val="0"/>
          <c:dLbls>
            <c:dLbl>
              <c:idx val="0"/>
              <c:spPr>
                <a:noFill/>
                <a:ln w="25400">
                  <a:noFill/>
                </a:ln>
              </c:spPr>
              <c:txPr>
                <a:bodyPr vertOverflow="clip" horzOverflow="clip" wrap="none" lIns="38100" tIns="19050" rIns="38100" bIns="19050" anchor="ctr">
                  <a:noAutofit/>
                </a:bodyPr>
                <a:lstStyle/>
                <a:p>
                  <a:pPr>
                    <a:defRPr sz="900"/>
                  </a:pPr>
                  <a:endParaRPr lang="ja-JP"/>
                </a:p>
              </c:txPr>
              <c:dLblPos val="ct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543A-4434-A93A-86780A4EE9BF}"/>
                </c:ext>
              </c:extLst>
            </c:dLbl>
            <c:spPr>
              <a:noFill/>
              <a:ln w="25400">
                <a:noFill/>
              </a:ln>
            </c:spPr>
            <c:txPr>
              <a:bodyPr vertOverflow="clip" horzOverflow="clip" wrap="none" lIns="38100" tIns="19050" rIns="38100" bIns="19050" anchor="ctr">
                <a:noAutofit/>
              </a:bodyPr>
              <a:lstStyle/>
              <a:p>
                <a:pPr>
                  <a:defRPr sz="900"/>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総括!$AD$9</c:f>
              <c:numCache>
                <c:formatCode>#,##0"億円"</c:formatCode>
                <c:ptCount val="1"/>
                <c:pt idx="0">
                  <c:v>0</c:v>
                </c:pt>
              </c:numCache>
            </c:numRef>
          </c:val>
          <c:extLst>
            <c:ext xmlns:c16="http://schemas.microsoft.com/office/drawing/2014/chart" uri="{C3380CC4-5D6E-409C-BE32-E72D297353CC}">
              <c16:uniqueId val="{00000009-543A-4434-A93A-86780A4EE9BF}"/>
            </c:ext>
          </c:extLst>
        </c:ser>
        <c:dLbls>
          <c:showLegendKey val="0"/>
          <c:showVal val="0"/>
          <c:showCatName val="0"/>
          <c:showSerName val="0"/>
          <c:showPercent val="0"/>
          <c:showBubbleSize val="0"/>
        </c:dLbls>
        <c:gapWidth val="55"/>
        <c:overlap val="100"/>
        <c:axId val="1053823328"/>
        <c:axId val="1"/>
      </c:barChart>
      <c:catAx>
        <c:axId val="105382332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1053823328"/>
        <c:crossesAt val="1"/>
        <c:crossBetween val="between"/>
      </c:valAx>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
          <c:y val="2.4363600272374813E-2"/>
          <c:w val="1"/>
          <c:h val="0.88498320271570752"/>
        </c:manualLayout>
      </c:layout>
      <c:barChart>
        <c:barDir val="col"/>
        <c:grouping val="percentStacked"/>
        <c:varyColors val="0"/>
        <c:ser>
          <c:idx val="1"/>
          <c:order val="0"/>
          <c:tx>
            <c:strRef>
              <c:f>総括!$AE$11</c:f>
              <c:strCache>
                <c:ptCount val="1"/>
                <c:pt idx="0">
                  <c:v>従前資産</c:v>
                </c:pt>
              </c:strCache>
            </c:strRef>
          </c:tx>
          <c:spPr>
            <a:solidFill>
              <a:srgbClr val="9BBB59">
                <a:lumMod val="60000"/>
                <a:lumOff val="40000"/>
              </a:srgbClr>
            </a:solidFill>
            <a:ln w="25400">
              <a:noFill/>
            </a:ln>
          </c:spPr>
          <c:invertIfNegative val="0"/>
          <c:dPt>
            <c:idx val="0"/>
            <c:invertIfNegative val="0"/>
            <c:bubble3D val="0"/>
            <c:spPr>
              <a:solidFill>
                <a:srgbClr val="9BBB59">
                  <a:lumMod val="60000"/>
                  <a:lumOff val="40000"/>
                </a:srgbClr>
              </a:solidFill>
              <a:ln>
                <a:solidFill>
                  <a:schemeClr val="bg1">
                    <a:lumMod val="50000"/>
                  </a:schemeClr>
                </a:solidFill>
              </a:ln>
              <a:effectLst/>
            </c:spPr>
            <c:extLst>
              <c:ext xmlns:c16="http://schemas.microsoft.com/office/drawing/2014/chart" uri="{C3380CC4-5D6E-409C-BE32-E72D297353CC}">
                <c16:uniqueId val="{00000000-7B96-424B-93E7-09CF64910C19}"/>
              </c:ext>
            </c:extLst>
          </c:dPt>
          <c:dLbls>
            <c:dLbl>
              <c:idx val="0"/>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7B96-424B-93E7-09CF64910C19}"/>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総括!$AF$11</c:f>
              <c:numCache>
                <c:formatCode>#,##0"億円"</c:formatCode>
                <c:ptCount val="1"/>
                <c:pt idx="0">
                  <c:v>0</c:v>
                </c:pt>
              </c:numCache>
            </c:numRef>
          </c:val>
          <c:extLst>
            <c:ext xmlns:c16="http://schemas.microsoft.com/office/drawing/2014/chart" uri="{C3380CC4-5D6E-409C-BE32-E72D297353CC}">
              <c16:uniqueId val="{00000001-7B96-424B-93E7-09CF64910C19}"/>
            </c:ext>
          </c:extLst>
        </c:ser>
        <c:ser>
          <c:idx val="2"/>
          <c:order val="1"/>
          <c:tx>
            <c:strRef>
              <c:f>総括!$AE$10</c:f>
              <c:strCache>
                <c:ptCount val="1"/>
                <c:pt idx="0">
                  <c:v>保留床処分金</c:v>
                </c:pt>
              </c:strCache>
            </c:strRef>
          </c:tx>
          <c:spPr>
            <a:solidFill>
              <a:schemeClr val="accent4">
                <a:lumMod val="60000"/>
                <a:lumOff val="40000"/>
              </a:schemeClr>
            </a:solidFill>
            <a:ln>
              <a:solidFill>
                <a:schemeClr val="bg1">
                  <a:lumMod val="50000"/>
                </a:schemeClr>
              </a:solidFill>
            </a:ln>
            <a:effectLst/>
          </c:spPr>
          <c:invertIfNegative val="0"/>
          <c:dLbls>
            <c:dLbl>
              <c:idx val="0"/>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7B96-424B-93E7-09CF64910C19}"/>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総括!$AF$10</c:f>
              <c:numCache>
                <c:formatCode>#,##0"億円"</c:formatCode>
                <c:ptCount val="1"/>
                <c:pt idx="0">
                  <c:v>0</c:v>
                </c:pt>
              </c:numCache>
            </c:numRef>
          </c:val>
          <c:extLst>
            <c:ext xmlns:c16="http://schemas.microsoft.com/office/drawing/2014/chart" uri="{C3380CC4-5D6E-409C-BE32-E72D297353CC}">
              <c16:uniqueId val="{00000003-7B96-424B-93E7-09CF64910C19}"/>
            </c:ext>
          </c:extLst>
        </c:ser>
        <c:ser>
          <c:idx val="3"/>
          <c:order val="2"/>
          <c:tx>
            <c:strRef>
              <c:f>総括!$AE$9</c:f>
              <c:strCache>
                <c:ptCount val="1"/>
                <c:pt idx="0">
                  <c:v>補助金等</c:v>
                </c:pt>
              </c:strCache>
            </c:strRef>
          </c:tx>
          <c:spPr>
            <a:solidFill>
              <a:srgbClr val="F79646">
                <a:lumMod val="60000"/>
                <a:lumOff val="40000"/>
              </a:srgbClr>
            </a:solidFill>
            <a:ln>
              <a:solidFill>
                <a:schemeClr val="bg1">
                  <a:lumMod val="50000"/>
                </a:schemeClr>
              </a:solidFill>
            </a:ln>
            <a:effectLst/>
          </c:spPr>
          <c:invertIfNegative val="0"/>
          <c:dLbls>
            <c:dLbl>
              <c:idx val="0"/>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B96-424B-93E7-09CF64910C19}"/>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総括!$AF$9</c:f>
              <c:numCache>
                <c:formatCode>#,##0"億円"</c:formatCode>
                <c:ptCount val="1"/>
                <c:pt idx="0">
                  <c:v>0</c:v>
                </c:pt>
              </c:numCache>
            </c:numRef>
          </c:val>
          <c:extLst>
            <c:ext xmlns:c16="http://schemas.microsoft.com/office/drawing/2014/chart" uri="{C3380CC4-5D6E-409C-BE32-E72D297353CC}">
              <c16:uniqueId val="{00000005-7B96-424B-93E7-09CF64910C19}"/>
            </c:ext>
          </c:extLst>
        </c:ser>
        <c:dLbls>
          <c:showLegendKey val="0"/>
          <c:showVal val="0"/>
          <c:showCatName val="0"/>
          <c:showSerName val="0"/>
          <c:showPercent val="0"/>
          <c:showBubbleSize val="0"/>
        </c:dLbls>
        <c:gapWidth val="55"/>
        <c:overlap val="100"/>
        <c:axId val="1053826240"/>
        <c:axId val="1"/>
      </c:barChart>
      <c:catAx>
        <c:axId val="105382624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1053826240"/>
        <c:crossesAt val="1"/>
        <c:crossBetween val="between"/>
      </c:valAx>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
          <c:y val="0.20934142231388439"/>
          <c:w val="1"/>
          <c:h val="0.69892054999066777"/>
        </c:manualLayout>
      </c:layout>
      <c:barChart>
        <c:barDir val="col"/>
        <c:grouping val="percentStacked"/>
        <c:varyColors val="0"/>
        <c:ser>
          <c:idx val="2"/>
          <c:order val="0"/>
          <c:tx>
            <c:strRef>
              <c:f>総括!$AG$12</c:f>
              <c:strCache>
                <c:ptCount val="1"/>
                <c:pt idx="0">
                  <c:v>商業</c:v>
                </c:pt>
              </c:strCache>
            </c:strRef>
          </c:tx>
          <c:spPr>
            <a:solidFill>
              <a:srgbClr val="FF99CC"/>
            </a:solidFill>
            <a:ln>
              <a:solidFill>
                <a:schemeClr val="bg1">
                  <a:lumMod val="50000"/>
                </a:schemeClr>
              </a:solidFill>
            </a:ln>
            <a:effectLst/>
          </c:spPr>
          <c:invertIfNegative val="0"/>
          <c:dLbls>
            <c:dLbl>
              <c:idx val="0"/>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6F4-4FF5-B41F-DF334ABE64B0}"/>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総括!$AH$12</c:f>
              <c:numCache>
                <c:formatCode>#,##0"億円"</c:formatCode>
                <c:ptCount val="1"/>
                <c:pt idx="0">
                  <c:v>0</c:v>
                </c:pt>
              </c:numCache>
            </c:numRef>
          </c:val>
          <c:extLst>
            <c:ext xmlns:c16="http://schemas.microsoft.com/office/drawing/2014/chart" uri="{C3380CC4-5D6E-409C-BE32-E72D297353CC}">
              <c16:uniqueId val="{00000001-66F4-4FF5-B41F-DF334ABE64B0}"/>
            </c:ext>
          </c:extLst>
        </c:ser>
        <c:ser>
          <c:idx val="4"/>
          <c:order val="1"/>
          <c:tx>
            <c:strRef>
              <c:f>総括!$AG$10</c:f>
              <c:strCache>
                <c:ptCount val="1"/>
                <c:pt idx="0">
                  <c:v>住宅</c:v>
                </c:pt>
              </c:strCache>
            </c:strRef>
          </c:tx>
          <c:spPr>
            <a:solidFill>
              <a:srgbClr val="FFFF00"/>
            </a:solidFill>
            <a:ln>
              <a:solidFill>
                <a:schemeClr val="bg1">
                  <a:lumMod val="50000"/>
                </a:schemeClr>
              </a:solidFill>
            </a:ln>
          </c:spPr>
          <c:invertIfNegative val="0"/>
          <c:dLbls>
            <c:dLbl>
              <c:idx val="0"/>
              <c:tx>
                <c:rich>
                  <a:bodyPr wrap="square" lIns="38100" tIns="19050" rIns="38100" bIns="19050" anchor="ctr">
                    <a:noAutofit/>
                  </a:bodyPr>
                  <a:lstStyle/>
                  <a:p>
                    <a:pPr>
                      <a:defRPr sz="900"/>
                    </a:pPr>
                    <a:r>
                      <a:rPr lang="ja-JP" altLang="en-US" baseline="0"/>
                      <a:t>住宅　</a:t>
                    </a:r>
                    <a:r>
                      <a:rPr lang="en-US" altLang="ja-JP" baseline="0"/>
                      <a:t>26</a:t>
                    </a:r>
                    <a:r>
                      <a:rPr lang="ja-JP" altLang="en-US" baseline="0"/>
                      <a:t>億円</a:t>
                    </a:r>
                    <a:endParaRPr lang="ja-JP" altLang="en-US"/>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66F4-4FF5-B41F-DF334ABE64B0}"/>
                </c:ext>
              </c:extLst>
            </c:dLbl>
            <c:spPr>
              <a:noFill/>
              <a:ln w="25400">
                <a:noFill/>
              </a:ln>
            </c:spPr>
            <c:txPr>
              <a:bodyPr wrap="square" lIns="38100" tIns="19050" rIns="38100" bIns="19050" anchor="ctr">
                <a:spAutoFit/>
              </a:bodyPr>
              <a:lstStyle/>
              <a:p>
                <a:pPr>
                  <a:defRPr sz="900"/>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総括!$AH$10</c:f>
              <c:numCache>
                <c:formatCode>#,##0"億円"</c:formatCode>
                <c:ptCount val="1"/>
                <c:pt idx="0">
                  <c:v>0</c:v>
                </c:pt>
              </c:numCache>
            </c:numRef>
          </c:val>
          <c:extLst>
            <c:ext xmlns:c16="http://schemas.microsoft.com/office/drawing/2014/chart" uri="{C3380CC4-5D6E-409C-BE32-E72D297353CC}">
              <c16:uniqueId val="{00000003-66F4-4FF5-B41F-DF334ABE64B0}"/>
            </c:ext>
          </c:extLst>
        </c:ser>
        <c:ser>
          <c:idx val="0"/>
          <c:order val="2"/>
          <c:tx>
            <c:strRef>
              <c:f>総括!$AG$9</c:f>
              <c:strCache>
                <c:ptCount val="1"/>
                <c:pt idx="0">
                  <c:v>ホテル</c:v>
                </c:pt>
              </c:strCache>
            </c:strRef>
          </c:tx>
          <c:spPr>
            <a:solidFill>
              <a:srgbClr val="FFC000"/>
            </a:solidFill>
            <a:ln>
              <a:solidFill>
                <a:sysClr val="window" lastClr="FFFFFF">
                  <a:lumMod val="50000"/>
                </a:sysClr>
              </a:solidFill>
            </a:ln>
          </c:spPr>
          <c:invertIfNegative val="0"/>
          <c:dLbls>
            <c:dLbl>
              <c:idx val="0"/>
              <c:spPr>
                <a:noFill/>
                <a:ln w="25400">
                  <a:noFill/>
                </a:ln>
              </c:spPr>
              <c:txPr>
                <a:bodyPr wrap="square" lIns="38100" tIns="19050" rIns="38100" bIns="19050" anchor="ctr">
                  <a:spAutoFit/>
                </a:bodyPr>
                <a:lstStyle/>
                <a:p>
                  <a:pPr>
                    <a:defRPr sz="9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66F4-4FF5-B41F-DF334ABE64B0}"/>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総括!$AH$9</c:f>
              <c:numCache>
                <c:formatCode>#,##0"億円"</c:formatCode>
                <c:ptCount val="1"/>
                <c:pt idx="0">
                  <c:v>0</c:v>
                </c:pt>
              </c:numCache>
            </c:numRef>
          </c:val>
          <c:extLst>
            <c:ext xmlns:c16="http://schemas.microsoft.com/office/drawing/2014/chart" uri="{C3380CC4-5D6E-409C-BE32-E72D297353CC}">
              <c16:uniqueId val="{00000005-66F4-4FF5-B41F-DF334ABE64B0}"/>
            </c:ext>
          </c:extLst>
        </c:ser>
        <c:dLbls>
          <c:showLegendKey val="0"/>
          <c:showVal val="0"/>
          <c:showCatName val="0"/>
          <c:showSerName val="0"/>
          <c:showPercent val="0"/>
          <c:showBubbleSize val="0"/>
        </c:dLbls>
        <c:gapWidth val="55"/>
        <c:overlap val="100"/>
        <c:axId val="1053820416"/>
        <c:axId val="1"/>
      </c:barChart>
      <c:catAx>
        <c:axId val="105382041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1053820416"/>
        <c:crossesAt val="1"/>
        <c:crossBetween val="between"/>
      </c:valAx>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
          <c:y val="0.29062412275900995"/>
          <c:w val="1"/>
          <c:h val="0.49123410541709572"/>
        </c:manualLayout>
      </c:layout>
      <c:barChart>
        <c:barDir val="col"/>
        <c:grouping val="percentStacked"/>
        <c:varyColors val="0"/>
        <c:ser>
          <c:idx val="3"/>
          <c:order val="0"/>
          <c:tx>
            <c:strRef>
              <c:f>総括!$AA$13</c:f>
              <c:strCache>
                <c:ptCount val="1"/>
                <c:pt idx="0">
                  <c:v>従前（権変）</c:v>
                </c:pt>
              </c:strCache>
            </c:strRef>
          </c:tx>
          <c:spPr>
            <a:solidFill>
              <a:schemeClr val="accent3">
                <a:lumMod val="60000"/>
                <a:lumOff val="40000"/>
              </a:schemeClr>
            </a:solidFill>
            <a:ln>
              <a:solidFill>
                <a:schemeClr val="bg1">
                  <a:lumMod val="50000"/>
                </a:schemeClr>
              </a:solidFill>
            </a:ln>
            <a:effectLst/>
          </c:spPr>
          <c:invertIfNegative val="0"/>
          <c:dLbls>
            <c:dLbl>
              <c:idx val="0"/>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FC8C-4268-AAE2-37D1C9562EE8}"/>
                </c:ext>
              </c:extLst>
            </c:dLbl>
            <c:spPr>
              <a:noFill/>
              <a:ln w="25400">
                <a:noFill/>
              </a:ln>
            </c:spPr>
            <c:txPr>
              <a:bodyPr rot="0" spcFirstLastPara="1" vertOverflow="clip" horzOverflow="clip" vert="horz" wrap="non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総括!$AB$13</c:f>
              <c:numCache>
                <c:formatCode>#,##0"億円"</c:formatCode>
                <c:ptCount val="1"/>
                <c:pt idx="0">
                  <c:v>0</c:v>
                </c:pt>
              </c:numCache>
            </c:numRef>
          </c:val>
          <c:extLst>
            <c:ext xmlns:c16="http://schemas.microsoft.com/office/drawing/2014/chart" uri="{C3380CC4-5D6E-409C-BE32-E72D297353CC}">
              <c16:uniqueId val="{00000001-FC8C-4268-AAE2-37D1C9562EE8}"/>
            </c:ext>
          </c:extLst>
        </c:ser>
        <c:ser>
          <c:idx val="2"/>
          <c:order val="1"/>
          <c:tx>
            <c:strRef>
              <c:f>総括!$AA$12</c:f>
              <c:strCache>
                <c:ptCount val="1"/>
                <c:pt idx="0">
                  <c:v>従前（転出）</c:v>
                </c:pt>
              </c:strCache>
            </c:strRef>
          </c:tx>
          <c:spPr>
            <a:solidFill>
              <a:schemeClr val="accent3">
                <a:lumMod val="60000"/>
                <a:lumOff val="40000"/>
              </a:schemeClr>
            </a:solidFill>
            <a:ln>
              <a:solidFill>
                <a:schemeClr val="bg1">
                  <a:lumMod val="50000"/>
                </a:schemeClr>
              </a:solidFill>
            </a:ln>
            <a:effectLst/>
          </c:spPr>
          <c:invertIfNegative val="0"/>
          <c:dLbls>
            <c:dLbl>
              <c:idx val="0"/>
              <c:layout>
                <c:manualLayout>
                  <c:x val="-1.5530991318392893E-2"/>
                  <c:y val="-6.1125692621755616E-3"/>
                </c:manualLayout>
              </c:layout>
              <c:spPr/>
              <c:txPr>
                <a:bodyPr rot="0" vert="horz" lIns="38100" tIns="19050" rIns="38100" bIns="19050">
                  <a:noAutofit/>
                </a:bodyPr>
                <a:lstStyle/>
                <a:p>
                  <a:pPr>
                    <a:defRPr sz="9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FC8C-4268-AAE2-37D1C9562EE8}"/>
                </c:ext>
              </c:extLst>
            </c:dLbl>
            <c:spPr>
              <a:noFill/>
              <a:ln w="25400">
                <a:noFill/>
              </a:ln>
            </c:spPr>
            <c:txPr>
              <a:bodyPr rot="0" vert="horz" lIns="38100" tIns="19050" rIns="38100" bIns="19050">
                <a:spAutoFit/>
              </a:bodyPr>
              <a:lstStyle/>
              <a:p>
                <a:pPr>
                  <a:defRPr sz="900"/>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総括!$AB$12</c:f>
              <c:numCache>
                <c:formatCode>#,##0"億円"</c:formatCode>
                <c:ptCount val="1"/>
                <c:pt idx="0">
                  <c:v>0</c:v>
                </c:pt>
              </c:numCache>
            </c:numRef>
          </c:val>
          <c:extLst>
            <c:ext xmlns:c16="http://schemas.microsoft.com/office/drawing/2014/chart" uri="{C3380CC4-5D6E-409C-BE32-E72D297353CC}">
              <c16:uniqueId val="{00000003-FC8C-4268-AAE2-37D1C9562EE8}"/>
            </c:ext>
          </c:extLst>
        </c:ser>
        <c:dLbls>
          <c:showLegendKey val="0"/>
          <c:showVal val="0"/>
          <c:showCatName val="0"/>
          <c:showSerName val="0"/>
          <c:showPercent val="0"/>
          <c:showBubbleSize val="0"/>
        </c:dLbls>
        <c:gapWidth val="55"/>
        <c:overlap val="100"/>
        <c:axId val="1053823744"/>
        <c:axId val="1"/>
      </c:barChart>
      <c:catAx>
        <c:axId val="1053823744"/>
        <c:scaling>
          <c:orientation val="minMax"/>
        </c:scaling>
        <c:delete val="1"/>
        <c:axPos val="b"/>
        <c:majorTickMark val="out"/>
        <c:minorTickMark val="none"/>
        <c:tickLblPos val="nextTo"/>
        <c:crossAx val="1"/>
        <c:crossesAt val="0"/>
        <c:auto val="1"/>
        <c:lblAlgn val="ctr"/>
        <c:lblOffset val="100"/>
        <c:noMultiLvlLbl val="0"/>
      </c:catAx>
      <c:valAx>
        <c:axId val="1"/>
        <c:scaling>
          <c:orientation val="minMax"/>
          <c:min val="0"/>
        </c:scaling>
        <c:delete val="1"/>
        <c:axPos val="l"/>
        <c:numFmt formatCode="0%" sourceLinked="1"/>
        <c:majorTickMark val="out"/>
        <c:minorTickMark val="none"/>
        <c:tickLblPos val="nextTo"/>
        <c:crossAx val="1053823744"/>
        <c:crossesAt val="1"/>
        <c:crossBetween val="between"/>
      </c:valAx>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drawings/_rels/drawing2.xml.rels>&#65279;<?xml version="1.0" encoding="utf-8" standalone="yes"?>
<Relationships xmlns="http://schemas.openxmlformats.org/package/2006/relationships">
  <Relationship Id="rId3" Type="http://schemas.openxmlformats.org/officeDocument/2006/relationships/chart" Target="../charts/chart3.xml" />
  <Relationship Id="rId2" Type="http://schemas.openxmlformats.org/officeDocument/2006/relationships/chart" Target="../charts/chart2.xml" />
  <Relationship Id="rId1" Type="http://schemas.openxmlformats.org/officeDocument/2006/relationships/chart" Target="../charts/chart1.xml" />
  <Relationship Id="rId4" Type="http://schemas.openxmlformats.org/officeDocument/2006/relationships/chart" Target="../charts/chart4.xml" />
</Relationships>
</file>

<file path=xl/drawings/_rels/drawing3.xml.rels>&#65279;<?xml version="1.0" encoding="utf-8" standalone="yes"?>
<Relationships xmlns="http://schemas.openxmlformats.org/package/2006/relationships">
  <Relationship Id="rId3" Type="http://schemas.openxmlformats.org/officeDocument/2006/relationships/chart" Target="../charts/chart7.xml" />
  <Relationship Id="rId2" Type="http://schemas.openxmlformats.org/officeDocument/2006/relationships/chart" Target="../charts/chart6.xml" />
  <Relationship Id="rId1" Type="http://schemas.openxmlformats.org/officeDocument/2006/relationships/chart" Target="../charts/chart5.xml" />
  <Relationship Id="rId4" Type="http://schemas.openxmlformats.org/officeDocument/2006/relationships/chart" Target="../charts/chart8.xml" />
</Relationships>
</file>

<file path=xl/drawings/drawing1.xml><?xml version="1.0" encoding="utf-8"?>
<xdr:wsDr xmlns:xdr="http://schemas.openxmlformats.org/drawingml/2006/spreadsheetDrawing" xmlns:a="http://schemas.openxmlformats.org/drawingml/2006/main">
  <xdr:twoCellAnchor>
    <xdr:from>
      <xdr:col>10</xdr:col>
      <xdr:colOff>249478</xdr:colOff>
      <xdr:row>39</xdr:row>
      <xdr:rowOff>10538</xdr:rowOff>
    </xdr:from>
    <xdr:to>
      <xdr:col>10</xdr:col>
      <xdr:colOff>249478</xdr:colOff>
      <xdr:row>41</xdr:row>
      <xdr:rowOff>137243</xdr:rowOff>
    </xdr:to>
    <xdr:cxnSp macro="">
      <xdr:nvCxnSpPr>
        <xdr:cNvPr id="2" name="直線矢印コネクタ 1">
          <a:extLst>
            <a:ext uri="{FF2B5EF4-FFF2-40B4-BE49-F238E27FC236}">
              <a16:creationId xmlns:a16="http://schemas.microsoft.com/office/drawing/2014/main" id="{6AF074A8-04E9-4121-B2B3-F305BFEE656C}"/>
            </a:ext>
          </a:extLst>
        </xdr:cNvPr>
        <xdr:cNvCxnSpPr/>
      </xdr:nvCxnSpPr>
      <xdr:spPr>
        <a:xfrm>
          <a:off x="9537730" y="8287220"/>
          <a:ext cx="0" cy="55651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15677</xdr:colOff>
      <xdr:row>37</xdr:row>
      <xdr:rowOff>74703</xdr:rowOff>
    </xdr:from>
    <xdr:to>
      <xdr:col>14</xdr:col>
      <xdr:colOff>15677</xdr:colOff>
      <xdr:row>38</xdr:row>
      <xdr:rowOff>2477</xdr:rowOff>
    </xdr:to>
    <xdr:sp macro="" textlink="">
      <xdr:nvSpPr>
        <xdr:cNvPr id="2" name="下矢印 2">
          <a:extLst>
            <a:ext uri="{FF2B5EF4-FFF2-40B4-BE49-F238E27FC236}">
              <a16:creationId xmlns:a16="http://schemas.microsoft.com/office/drawing/2014/main" id="{9489FC84-63AB-4D6A-8EF3-E31BCADAA936}"/>
            </a:ext>
          </a:extLst>
        </xdr:cNvPr>
        <xdr:cNvSpPr/>
      </xdr:nvSpPr>
      <xdr:spPr>
        <a:xfrm>
          <a:off x="8899962" y="6244363"/>
          <a:ext cx="0" cy="81969"/>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571500</xdr:colOff>
      <xdr:row>4</xdr:row>
      <xdr:rowOff>177800</xdr:rowOff>
    </xdr:from>
    <xdr:to>
      <xdr:col>18</xdr:col>
      <xdr:colOff>654050</xdr:colOff>
      <xdr:row>22</xdr:row>
      <xdr:rowOff>38100</xdr:rowOff>
    </xdr:to>
    <xdr:graphicFrame macro="">
      <xdr:nvGraphicFramePr>
        <xdr:cNvPr id="3185894" name="グラフ 9">
          <a:extLst>
            <a:ext uri="{FF2B5EF4-FFF2-40B4-BE49-F238E27FC236}">
              <a16:creationId xmlns:a16="http://schemas.microsoft.com/office/drawing/2014/main" id="{2C4184EB-175F-4F00-9458-5EE7B8A6B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381000</xdr:colOff>
      <xdr:row>8</xdr:row>
      <xdr:rowOff>57150</xdr:rowOff>
    </xdr:from>
    <xdr:to>
      <xdr:col>22</xdr:col>
      <xdr:colOff>158750</xdr:colOff>
      <xdr:row>27</xdr:row>
      <xdr:rowOff>0</xdr:rowOff>
    </xdr:to>
    <xdr:graphicFrame macro="">
      <xdr:nvGraphicFramePr>
        <xdr:cNvPr id="3185895" name="グラフ 10">
          <a:extLst>
            <a:ext uri="{FF2B5EF4-FFF2-40B4-BE49-F238E27FC236}">
              <a16:creationId xmlns:a16="http://schemas.microsoft.com/office/drawing/2014/main" id="{CA687B74-8A47-493D-B1B4-875DAD1C6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527050</xdr:colOff>
      <xdr:row>8</xdr:row>
      <xdr:rowOff>311150</xdr:rowOff>
    </xdr:from>
    <xdr:to>
      <xdr:col>24</xdr:col>
      <xdr:colOff>654050</xdr:colOff>
      <xdr:row>26</xdr:row>
      <xdr:rowOff>330200</xdr:rowOff>
    </xdr:to>
    <xdr:graphicFrame macro="">
      <xdr:nvGraphicFramePr>
        <xdr:cNvPr id="3185896" name="グラフ 11">
          <a:extLst>
            <a:ext uri="{FF2B5EF4-FFF2-40B4-BE49-F238E27FC236}">
              <a16:creationId xmlns:a16="http://schemas.microsoft.com/office/drawing/2014/main" id="{901D028B-6C92-466B-A7AA-B7B8CE817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19</xdr:row>
      <xdr:rowOff>6350</xdr:rowOff>
    </xdr:from>
    <xdr:to>
      <xdr:col>16</xdr:col>
      <xdr:colOff>6350</xdr:colOff>
      <xdr:row>27</xdr:row>
      <xdr:rowOff>6350</xdr:rowOff>
    </xdr:to>
    <xdr:graphicFrame macro="">
      <xdr:nvGraphicFramePr>
        <xdr:cNvPr id="3185897" name="グラフ 9">
          <a:extLst>
            <a:ext uri="{FF2B5EF4-FFF2-40B4-BE49-F238E27FC236}">
              <a16:creationId xmlns:a16="http://schemas.microsoft.com/office/drawing/2014/main" id="{A9A5FF6B-6B83-4E74-9590-58A81AF8B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397366</xdr:colOff>
      <xdr:row>25</xdr:row>
      <xdr:rowOff>44319</xdr:rowOff>
    </xdr:from>
    <xdr:to>
      <xdr:col>22</xdr:col>
      <xdr:colOff>286245</xdr:colOff>
      <xdr:row>25</xdr:row>
      <xdr:rowOff>44319</xdr:rowOff>
    </xdr:to>
    <xdr:cxnSp macro="">
      <xdr:nvCxnSpPr>
        <xdr:cNvPr id="7" name="直線コネクタ 6">
          <a:extLst>
            <a:ext uri="{FF2B5EF4-FFF2-40B4-BE49-F238E27FC236}">
              <a16:creationId xmlns:a16="http://schemas.microsoft.com/office/drawing/2014/main" id="{706C2454-0046-4DA5-98A0-DCB4DC8C0FF7}"/>
            </a:ext>
          </a:extLst>
        </xdr:cNvPr>
        <xdr:cNvCxnSpPr/>
      </xdr:nvCxnSpPr>
      <xdr:spPr>
        <a:xfrm>
          <a:off x="13694266" y="4151499"/>
          <a:ext cx="502991"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262972</xdr:colOff>
      <xdr:row>23</xdr:row>
      <xdr:rowOff>83571</xdr:rowOff>
    </xdr:from>
    <xdr:to>
      <xdr:col>19</xdr:col>
      <xdr:colOff>126867</xdr:colOff>
      <xdr:row>23</xdr:row>
      <xdr:rowOff>83571</xdr:rowOff>
    </xdr:to>
    <xdr:cxnSp macro="">
      <xdr:nvCxnSpPr>
        <xdr:cNvPr id="8" name="直線矢印コネクタ 7">
          <a:extLst>
            <a:ext uri="{FF2B5EF4-FFF2-40B4-BE49-F238E27FC236}">
              <a16:creationId xmlns:a16="http://schemas.microsoft.com/office/drawing/2014/main" id="{EC8715F3-344B-4E19-8376-D091B2271886}"/>
            </a:ext>
          </a:extLst>
        </xdr:cNvPr>
        <xdr:cNvCxnSpPr/>
      </xdr:nvCxnSpPr>
      <xdr:spPr>
        <a:xfrm>
          <a:off x="9874332" y="3851661"/>
          <a:ext cx="246617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263490</xdr:colOff>
      <xdr:row>11</xdr:row>
      <xdr:rowOff>45650</xdr:rowOff>
    </xdr:from>
    <xdr:to>
      <xdr:col>16</xdr:col>
      <xdr:colOff>257989</xdr:colOff>
      <xdr:row>21</xdr:row>
      <xdr:rowOff>11108</xdr:rowOff>
    </xdr:to>
    <xdr:sp macro="" textlink="">
      <xdr:nvSpPr>
        <xdr:cNvPr id="9" name="フリーフォーム 38">
          <a:extLst>
            <a:ext uri="{FF2B5EF4-FFF2-40B4-BE49-F238E27FC236}">
              <a16:creationId xmlns:a16="http://schemas.microsoft.com/office/drawing/2014/main" id="{57100F09-CB3E-4C77-B239-3815836C797B}"/>
            </a:ext>
          </a:extLst>
        </xdr:cNvPr>
        <xdr:cNvSpPr/>
      </xdr:nvSpPr>
      <xdr:spPr>
        <a:xfrm>
          <a:off x="9874850" y="1752530"/>
          <a:ext cx="659350" cy="1679958"/>
        </a:xfrm>
        <a:custGeom>
          <a:avLst/>
          <a:gdLst>
            <a:gd name="connsiteX0" fmla="*/ 0 w 596348"/>
            <a:gd name="connsiteY0" fmla="*/ 1383196 h 1383196"/>
            <a:gd name="connsiteX1" fmla="*/ 314739 w 596348"/>
            <a:gd name="connsiteY1" fmla="*/ 1383196 h 1383196"/>
            <a:gd name="connsiteX2" fmla="*/ 314739 w 596348"/>
            <a:gd name="connsiteY2" fmla="*/ 0 h 1383196"/>
            <a:gd name="connsiteX3" fmla="*/ 596348 w 596348"/>
            <a:gd name="connsiteY3" fmla="*/ 0 h 1383196"/>
          </a:gdLst>
          <a:ahLst/>
          <a:cxnLst>
            <a:cxn ang="0">
              <a:pos x="connsiteX0" y="connsiteY0"/>
            </a:cxn>
            <a:cxn ang="0">
              <a:pos x="connsiteX1" y="connsiteY1"/>
            </a:cxn>
            <a:cxn ang="0">
              <a:pos x="connsiteX2" y="connsiteY2"/>
            </a:cxn>
            <a:cxn ang="0">
              <a:pos x="connsiteX3" y="connsiteY3"/>
            </a:cxn>
          </a:cxnLst>
          <a:rect l="l" t="t" r="r" b="b"/>
          <a:pathLst>
            <a:path w="596348" h="1383196">
              <a:moveTo>
                <a:pt x="0" y="1383196"/>
              </a:moveTo>
              <a:lnTo>
                <a:pt x="314739" y="1383196"/>
              </a:lnTo>
              <a:lnTo>
                <a:pt x="314739" y="0"/>
              </a:lnTo>
              <a:lnTo>
                <a:pt x="596348" y="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407023</xdr:colOff>
      <xdr:row>12</xdr:row>
      <xdr:rowOff>118414</xdr:rowOff>
    </xdr:from>
    <xdr:to>
      <xdr:col>22</xdr:col>
      <xdr:colOff>289587</xdr:colOff>
      <xdr:row>12</xdr:row>
      <xdr:rowOff>118414</xdr:rowOff>
    </xdr:to>
    <xdr:cxnSp macro="">
      <xdr:nvCxnSpPr>
        <xdr:cNvPr id="10" name="直線コネクタ 9">
          <a:extLst>
            <a:ext uri="{FF2B5EF4-FFF2-40B4-BE49-F238E27FC236}">
              <a16:creationId xmlns:a16="http://schemas.microsoft.com/office/drawing/2014/main" id="{1916FC5C-DF38-47F2-9D84-43BD8463D312}"/>
            </a:ext>
          </a:extLst>
        </xdr:cNvPr>
        <xdr:cNvCxnSpPr/>
      </xdr:nvCxnSpPr>
      <xdr:spPr>
        <a:xfrm>
          <a:off x="13715353" y="2006904"/>
          <a:ext cx="503342"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263495</xdr:colOff>
      <xdr:row>21</xdr:row>
      <xdr:rowOff>101750</xdr:rowOff>
    </xdr:from>
    <xdr:to>
      <xdr:col>19</xdr:col>
      <xdr:colOff>147728</xdr:colOff>
      <xdr:row>21</xdr:row>
      <xdr:rowOff>101750</xdr:rowOff>
    </xdr:to>
    <xdr:cxnSp macro="">
      <xdr:nvCxnSpPr>
        <xdr:cNvPr id="11" name="直線コネクタ 10">
          <a:extLst>
            <a:ext uri="{FF2B5EF4-FFF2-40B4-BE49-F238E27FC236}">
              <a16:creationId xmlns:a16="http://schemas.microsoft.com/office/drawing/2014/main" id="{EC9D75C0-B144-4077-8604-5AE223E2671E}"/>
            </a:ext>
          </a:extLst>
        </xdr:cNvPr>
        <xdr:cNvCxnSpPr/>
      </xdr:nvCxnSpPr>
      <xdr:spPr>
        <a:xfrm>
          <a:off x="11854150" y="3524400"/>
          <a:ext cx="503342"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238070</xdr:colOff>
      <xdr:row>8</xdr:row>
      <xdr:rowOff>128391</xdr:rowOff>
    </xdr:from>
    <xdr:to>
      <xdr:col>19</xdr:col>
      <xdr:colOff>125621</xdr:colOff>
      <xdr:row>8</xdr:row>
      <xdr:rowOff>128391</xdr:rowOff>
    </xdr:to>
    <xdr:cxnSp macro="">
      <xdr:nvCxnSpPr>
        <xdr:cNvPr id="12" name="直線コネクタ 11">
          <a:extLst>
            <a:ext uri="{FF2B5EF4-FFF2-40B4-BE49-F238E27FC236}">
              <a16:creationId xmlns:a16="http://schemas.microsoft.com/office/drawing/2014/main" id="{256118BF-E93F-478F-B8EE-861022200456}"/>
            </a:ext>
          </a:extLst>
        </xdr:cNvPr>
        <xdr:cNvCxnSpPr/>
      </xdr:nvCxnSpPr>
      <xdr:spPr>
        <a:xfrm>
          <a:off x="11826185" y="1334891"/>
          <a:ext cx="512819"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264218</xdr:colOff>
      <xdr:row>21</xdr:row>
      <xdr:rowOff>101812</xdr:rowOff>
    </xdr:from>
    <xdr:to>
      <xdr:col>16</xdr:col>
      <xdr:colOff>261287</xdr:colOff>
      <xdr:row>21</xdr:row>
      <xdr:rowOff>101812</xdr:rowOff>
    </xdr:to>
    <xdr:cxnSp macro="">
      <xdr:nvCxnSpPr>
        <xdr:cNvPr id="13" name="直線コネクタ 12">
          <a:extLst>
            <a:ext uri="{FF2B5EF4-FFF2-40B4-BE49-F238E27FC236}">
              <a16:creationId xmlns:a16="http://schemas.microsoft.com/office/drawing/2014/main" id="{DC9FF02B-7B26-4979-A55A-3C0FF13E394E}"/>
            </a:ext>
          </a:extLst>
        </xdr:cNvPr>
        <xdr:cNvCxnSpPr/>
      </xdr:nvCxnSpPr>
      <xdr:spPr>
        <a:xfrm>
          <a:off x="9880658" y="3532082"/>
          <a:ext cx="656793"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9327</xdr:colOff>
      <xdr:row>36</xdr:row>
      <xdr:rowOff>72163</xdr:rowOff>
    </xdr:from>
    <xdr:to>
      <xdr:col>13</xdr:col>
      <xdr:colOff>9327</xdr:colOff>
      <xdr:row>37</xdr:row>
      <xdr:rowOff>3409</xdr:rowOff>
    </xdr:to>
    <xdr:sp macro="" textlink="">
      <xdr:nvSpPr>
        <xdr:cNvPr id="3" name="下矢印 2">
          <a:extLst>
            <a:ext uri="{FF2B5EF4-FFF2-40B4-BE49-F238E27FC236}">
              <a16:creationId xmlns:a16="http://schemas.microsoft.com/office/drawing/2014/main" id="{6DF2DE54-97C7-4B04-850D-23E4764BB2E3}"/>
            </a:ext>
          </a:extLst>
        </xdr:cNvPr>
        <xdr:cNvSpPr/>
      </xdr:nvSpPr>
      <xdr:spPr>
        <a:xfrm>
          <a:off x="13578774" y="7687974"/>
          <a:ext cx="489698" cy="134039"/>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4</xdr:row>
      <xdr:rowOff>0</xdr:rowOff>
    </xdr:from>
    <xdr:to>
      <xdr:col>18</xdr:col>
      <xdr:colOff>0</xdr:colOff>
      <xdr:row>21</xdr:row>
      <xdr:rowOff>57150</xdr:rowOff>
    </xdr:to>
    <xdr:graphicFrame macro="">
      <xdr:nvGraphicFramePr>
        <xdr:cNvPr id="3119529" name="グラフ 9">
          <a:extLst>
            <a:ext uri="{FF2B5EF4-FFF2-40B4-BE49-F238E27FC236}">
              <a16:creationId xmlns:a16="http://schemas.microsoft.com/office/drawing/2014/main" id="{9431669F-8454-4A67-A498-98D9A58F55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381000</xdr:colOff>
      <xdr:row>7</xdr:row>
      <xdr:rowOff>57150</xdr:rowOff>
    </xdr:from>
    <xdr:to>
      <xdr:col>21</xdr:col>
      <xdr:colOff>158750</xdr:colOff>
      <xdr:row>26</xdr:row>
      <xdr:rowOff>0</xdr:rowOff>
    </xdr:to>
    <xdr:graphicFrame macro="">
      <xdr:nvGraphicFramePr>
        <xdr:cNvPr id="3119530" name="グラフ 10">
          <a:extLst>
            <a:ext uri="{FF2B5EF4-FFF2-40B4-BE49-F238E27FC236}">
              <a16:creationId xmlns:a16="http://schemas.microsoft.com/office/drawing/2014/main" id="{DF242543-6B72-40C9-B9A6-F26E5AA461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9</xdr:row>
      <xdr:rowOff>76200</xdr:rowOff>
    </xdr:from>
    <xdr:to>
      <xdr:col>24</xdr:col>
      <xdr:colOff>0</xdr:colOff>
      <xdr:row>25</xdr:row>
      <xdr:rowOff>120650</xdr:rowOff>
    </xdr:to>
    <xdr:graphicFrame macro="">
      <xdr:nvGraphicFramePr>
        <xdr:cNvPr id="3119531" name="グラフ 11">
          <a:extLst>
            <a:ext uri="{FF2B5EF4-FFF2-40B4-BE49-F238E27FC236}">
              <a16:creationId xmlns:a16="http://schemas.microsoft.com/office/drawing/2014/main" id="{BE6C3296-64A6-4585-A7D7-24ED340B8C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18</xdr:row>
      <xdr:rowOff>6350</xdr:rowOff>
    </xdr:from>
    <xdr:to>
      <xdr:col>15</xdr:col>
      <xdr:colOff>6350</xdr:colOff>
      <xdr:row>26</xdr:row>
      <xdr:rowOff>6350</xdr:rowOff>
    </xdr:to>
    <xdr:graphicFrame macro="">
      <xdr:nvGraphicFramePr>
        <xdr:cNvPr id="3119532" name="グラフ 9">
          <a:extLst>
            <a:ext uri="{FF2B5EF4-FFF2-40B4-BE49-F238E27FC236}">
              <a16:creationId xmlns:a16="http://schemas.microsoft.com/office/drawing/2014/main" id="{418B283D-CEA1-4C5C-AEEC-4A77FB530A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388476</xdr:colOff>
      <xdr:row>24</xdr:row>
      <xdr:rowOff>44319</xdr:rowOff>
    </xdr:from>
    <xdr:to>
      <xdr:col>21</xdr:col>
      <xdr:colOff>270829</xdr:colOff>
      <xdr:row>24</xdr:row>
      <xdr:rowOff>44319</xdr:rowOff>
    </xdr:to>
    <xdr:cxnSp macro="">
      <xdr:nvCxnSpPr>
        <xdr:cNvPr id="37" name="直線コネクタ 36">
          <a:extLst>
            <a:ext uri="{FF2B5EF4-FFF2-40B4-BE49-F238E27FC236}">
              <a16:creationId xmlns:a16="http://schemas.microsoft.com/office/drawing/2014/main" id="{BD6A885D-9E7A-4B64-AFC0-899C84199099}"/>
            </a:ext>
          </a:extLst>
        </xdr:cNvPr>
        <xdr:cNvCxnSpPr/>
      </xdr:nvCxnSpPr>
      <xdr:spPr>
        <a:xfrm>
          <a:off x="12519324" y="4186456"/>
          <a:ext cx="46800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254082</xdr:colOff>
      <xdr:row>22</xdr:row>
      <xdr:rowOff>74681</xdr:rowOff>
    </xdr:from>
    <xdr:to>
      <xdr:col>18</xdr:col>
      <xdr:colOff>124349</xdr:colOff>
      <xdr:row>22</xdr:row>
      <xdr:rowOff>74681</xdr:rowOff>
    </xdr:to>
    <xdr:cxnSp macro="">
      <xdr:nvCxnSpPr>
        <xdr:cNvPr id="38" name="直線矢印コネクタ 37">
          <a:extLst>
            <a:ext uri="{FF2B5EF4-FFF2-40B4-BE49-F238E27FC236}">
              <a16:creationId xmlns:a16="http://schemas.microsoft.com/office/drawing/2014/main" id="{633FA41F-8DC5-40C4-AE65-1E6DF5963D31}"/>
            </a:ext>
          </a:extLst>
        </xdr:cNvPr>
        <xdr:cNvCxnSpPr/>
      </xdr:nvCxnSpPr>
      <xdr:spPr>
        <a:xfrm>
          <a:off x="9012111" y="3883154"/>
          <a:ext cx="226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254600</xdr:colOff>
      <xdr:row>10</xdr:row>
      <xdr:rowOff>39300</xdr:rowOff>
    </xdr:from>
    <xdr:to>
      <xdr:col>15</xdr:col>
      <xdr:colOff>257995</xdr:colOff>
      <xdr:row>20</xdr:row>
      <xdr:rowOff>17437</xdr:rowOff>
    </xdr:to>
    <xdr:sp macro="" textlink="">
      <xdr:nvSpPr>
        <xdr:cNvPr id="39" name="フリーフォーム 38">
          <a:extLst>
            <a:ext uri="{FF2B5EF4-FFF2-40B4-BE49-F238E27FC236}">
              <a16:creationId xmlns:a16="http://schemas.microsoft.com/office/drawing/2014/main" id="{B910F241-9489-438D-87B0-58329FFE0A2B}"/>
            </a:ext>
          </a:extLst>
        </xdr:cNvPr>
        <xdr:cNvSpPr/>
      </xdr:nvSpPr>
      <xdr:spPr>
        <a:xfrm>
          <a:off x="9012629" y="1763242"/>
          <a:ext cx="605054" cy="1706809"/>
        </a:xfrm>
        <a:custGeom>
          <a:avLst/>
          <a:gdLst>
            <a:gd name="connsiteX0" fmla="*/ 0 w 596348"/>
            <a:gd name="connsiteY0" fmla="*/ 1383196 h 1383196"/>
            <a:gd name="connsiteX1" fmla="*/ 314739 w 596348"/>
            <a:gd name="connsiteY1" fmla="*/ 1383196 h 1383196"/>
            <a:gd name="connsiteX2" fmla="*/ 314739 w 596348"/>
            <a:gd name="connsiteY2" fmla="*/ 0 h 1383196"/>
            <a:gd name="connsiteX3" fmla="*/ 596348 w 596348"/>
            <a:gd name="connsiteY3" fmla="*/ 0 h 1383196"/>
          </a:gdLst>
          <a:ahLst/>
          <a:cxnLst>
            <a:cxn ang="0">
              <a:pos x="connsiteX0" y="connsiteY0"/>
            </a:cxn>
            <a:cxn ang="0">
              <a:pos x="connsiteX1" y="connsiteY1"/>
            </a:cxn>
            <a:cxn ang="0">
              <a:pos x="connsiteX2" y="connsiteY2"/>
            </a:cxn>
            <a:cxn ang="0">
              <a:pos x="connsiteX3" y="connsiteY3"/>
            </a:cxn>
          </a:cxnLst>
          <a:rect l="l" t="t" r="r" b="b"/>
          <a:pathLst>
            <a:path w="596348" h="1383196">
              <a:moveTo>
                <a:pt x="0" y="1383196"/>
              </a:moveTo>
              <a:lnTo>
                <a:pt x="314739" y="1383196"/>
              </a:lnTo>
              <a:lnTo>
                <a:pt x="314739" y="0"/>
              </a:lnTo>
              <a:lnTo>
                <a:pt x="596348" y="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392178</xdr:colOff>
      <xdr:row>12</xdr:row>
      <xdr:rowOff>137070</xdr:rowOff>
    </xdr:from>
    <xdr:to>
      <xdr:col>21</xdr:col>
      <xdr:colOff>274909</xdr:colOff>
      <xdr:row>12</xdr:row>
      <xdr:rowOff>137070</xdr:rowOff>
    </xdr:to>
    <xdr:cxnSp macro="">
      <xdr:nvCxnSpPr>
        <xdr:cNvPr id="41" name="直線コネクタ 40">
          <a:extLst>
            <a:ext uri="{FF2B5EF4-FFF2-40B4-BE49-F238E27FC236}">
              <a16:creationId xmlns:a16="http://schemas.microsoft.com/office/drawing/2014/main" id="{D60FA8BD-00E5-4B61-BCF8-0B924B2CFB45}"/>
            </a:ext>
          </a:extLst>
        </xdr:cNvPr>
        <xdr:cNvCxnSpPr/>
      </xdr:nvCxnSpPr>
      <xdr:spPr>
        <a:xfrm>
          <a:off x="13657547" y="2202659"/>
          <a:ext cx="503014"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255656</xdr:colOff>
      <xdr:row>21</xdr:row>
      <xdr:rowOff>2778</xdr:rowOff>
    </xdr:from>
    <xdr:to>
      <xdr:col>18</xdr:col>
      <xdr:colOff>140234</xdr:colOff>
      <xdr:row>21</xdr:row>
      <xdr:rowOff>2778</xdr:rowOff>
    </xdr:to>
    <xdr:cxnSp macro="">
      <xdr:nvCxnSpPr>
        <xdr:cNvPr id="42" name="直線コネクタ 41">
          <a:extLst>
            <a:ext uri="{FF2B5EF4-FFF2-40B4-BE49-F238E27FC236}">
              <a16:creationId xmlns:a16="http://schemas.microsoft.com/office/drawing/2014/main" id="{CE9374BD-D0D9-4DA6-B9A6-D8F21FB5DE46}"/>
            </a:ext>
          </a:extLst>
        </xdr:cNvPr>
        <xdr:cNvCxnSpPr/>
      </xdr:nvCxnSpPr>
      <xdr:spPr>
        <a:xfrm>
          <a:off x="11814408" y="3576295"/>
          <a:ext cx="503013"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231720</xdr:colOff>
      <xdr:row>7</xdr:row>
      <xdr:rowOff>134741</xdr:rowOff>
    </xdr:from>
    <xdr:to>
      <xdr:col>18</xdr:col>
      <xdr:colOff>125725</xdr:colOff>
      <xdr:row>7</xdr:row>
      <xdr:rowOff>134741</xdr:rowOff>
    </xdr:to>
    <xdr:cxnSp macro="">
      <xdr:nvCxnSpPr>
        <xdr:cNvPr id="43" name="直線コネクタ 42">
          <a:extLst>
            <a:ext uri="{FF2B5EF4-FFF2-40B4-BE49-F238E27FC236}">
              <a16:creationId xmlns:a16="http://schemas.microsoft.com/office/drawing/2014/main" id="{A425DEE1-F8BB-4431-952C-2F89EAD5172F}"/>
            </a:ext>
          </a:extLst>
        </xdr:cNvPr>
        <xdr:cNvCxnSpPr/>
      </xdr:nvCxnSpPr>
      <xdr:spPr>
        <a:xfrm>
          <a:off x="10810602" y="1340407"/>
          <a:ext cx="46800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255328</xdr:colOff>
      <xdr:row>20</xdr:row>
      <xdr:rowOff>137416</xdr:rowOff>
    </xdr:from>
    <xdr:to>
      <xdr:col>15</xdr:col>
      <xdr:colOff>261295</xdr:colOff>
      <xdr:row>20</xdr:row>
      <xdr:rowOff>137416</xdr:rowOff>
    </xdr:to>
    <xdr:cxnSp macro="">
      <xdr:nvCxnSpPr>
        <xdr:cNvPr id="22" name="直線コネクタ 21">
          <a:extLst>
            <a:ext uri="{FF2B5EF4-FFF2-40B4-BE49-F238E27FC236}">
              <a16:creationId xmlns:a16="http://schemas.microsoft.com/office/drawing/2014/main" id="{34B55834-B416-4F2E-A18D-7C323B4C08EF}"/>
            </a:ext>
          </a:extLst>
        </xdr:cNvPr>
        <xdr:cNvCxnSpPr/>
      </xdr:nvCxnSpPr>
      <xdr:spPr>
        <a:xfrm>
          <a:off x="9848470" y="3564270"/>
          <a:ext cx="656465"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265988</xdr:colOff>
      <xdr:row>48</xdr:row>
      <xdr:rowOff>1648</xdr:rowOff>
    </xdr:from>
    <xdr:to>
      <xdr:col>11</xdr:col>
      <xdr:colOff>265988</xdr:colOff>
      <xdr:row>50</xdr:row>
      <xdr:rowOff>136902</xdr:rowOff>
    </xdr:to>
    <xdr:cxnSp macro="">
      <xdr:nvCxnSpPr>
        <xdr:cNvPr id="2" name="直線矢印コネクタ 1">
          <a:extLst>
            <a:ext uri="{FF2B5EF4-FFF2-40B4-BE49-F238E27FC236}">
              <a16:creationId xmlns:a16="http://schemas.microsoft.com/office/drawing/2014/main" id="{B4FD6E49-56E2-4DEE-92E6-F506F9932699}"/>
            </a:ext>
          </a:extLst>
        </xdr:cNvPr>
        <xdr:cNvCxnSpPr/>
      </xdr:nvCxnSpPr>
      <xdr:spPr>
        <a:xfrm>
          <a:off x="9549053" y="9019918"/>
          <a:ext cx="0" cy="5549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249478</xdr:colOff>
      <xdr:row>49</xdr:row>
      <xdr:rowOff>1648</xdr:rowOff>
    </xdr:from>
    <xdr:to>
      <xdr:col>11</xdr:col>
      <xdr:colOff>249478</xdr:colOff>
      <xdr:row>51</xdr:row>
      <xdr:rowOff>137102</xdr:rowOff>
    </xdr:to>
    <xdr:cxnSp macro="">
      <xdr:nvCxnSpPr>
        <xdr:cNvPr id="2" name="直線矢印コネクタ 1">
          <a:extLst>
            <a:ext uri="{FF2B5EF4-FFF2-40B4-BE49-F238E27FC236}">
              <a16:creationId xmlns:a16="http://schemas.microsoft.com/office/drawing/2014/main" id="{9F739B4F-ED23-4DE4-B216-0FB1CB3E6A2C}"/>
            </a:ext>
          </a:extLst>
        </xdr:cNvPr>
        <xdr:cNvCxnSpPr/>
      </xdr:nvCxnSpPr>
      <xdr:spPr>
        <a:xfrm>
          <a:off x="9549053" y="9210418"/>
          <a:ext cx="0" cy="5549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265988</xdr:colOff>
      <xdr:row>49</xdr:row>
      <xdr:rowOff>10538</xdr:rowOff>
    </xdr:from>
    <xdr:to>
      <xdr:col>11</xdr:col>
      <xdr:colOff>265988</xdr:colOff>
      <xdr:row>51</xdr:row>
      <xdr:rowOff>145928</xdr:rowOff>
    </xdr:to>
    <xdr:cxnSp macro="">
      <xdr:nvCxnSpPr>
        <xdr:cNvPr id="2" name="直線矢印コネクタ 1">
          <a:extLst>
            <a:ext uri="{FF2B5EF4-FFF2-40B4-BE49-F238E27FC236}">
              <a16:creationId xmlns:a16="http://schemas.microsoft.com/office/drawing/2014/main" id="{FB8E3145-3659-4BBB-B609-22017CAE1203}"/>
            </a:ext>
          </a:extLst>
        </xdr:cNvPr>
        <xdr:cNvCxnSpPr/>
      </xdr:nvCxnSpPr>
      <xdr:spPr>
        <a:xfrm>
          <a:off x="9549053" y="8257918"/>
          <a:ext cx="0" cy="5549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265988</xdr:colOff>
      <xdr:row>48</xdr:row>
      <xdr:rowOff>1648</xdr:rowOff>
    </xdr:from>
    <xdr:to>
      <xdr:col>11</xdr:col>
      <xdr:colOff>265988</xdr:colOff>
      <xdr:row>50</xdr:row>
      <xdr:rowOff>136902</xdr:rowOff>
    </xdr:to>
    <xdr:cxnSp macro="">
      <xdr:nvCxnSpPr>
        <xdr:cNvPr id="2" name="直線矢印コネクタ 1">
          <a:extLst>
            <a:ext uri="{FF2B5EF4-FFF2-40B4-BE49-F238E27FC236}">
              <a16:creationId xmlns:a16="http://schemas.microsoft.com/office/drawing/2014/main" id="{03FB6F27-EECB-44D6-BFAF-C1F3EB9AA5B3}"/>
            </a:ext>
          </a:extLst>
        </xdr:cNvPr>
        <xdr:cNvCxnSpPr/>
      </xdr:nvCxnSpPr>
      <xdr:spPr>
        <a:xfrm>
          <a:off x="9549053" y="8448418"/>
          <a:ext cx="0" cy="5549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63</xdr:row>
      <xdr:rowOff>1905</xdr:rowOff>
    </xdr:from>
    <xdr:to>
      <xdr:col>14</xdr:col>
      <xdr:colOff>144808</xdr:colOff>
      <xdr:row>65</xdr:row>
      <xdr:rowOff>327</xdr:rowOff>
    </xdr:to>
    <xdr:cxnSp macro="">
      <xdr:nvCxnSpPr>
        <xdr:cNvPr id="2" name="直線コネクタ 1">
          <a:extLst>
            <a:ext uri="{FF2B5EF4-FFF2-40B4-BE49-F238E27FC236}">
              <a16:creationId xmlns:a16="http://schemas.microsoft.com/office/drawing/2014/main" id="{6CED535F-0D5B-406E-A423-1D913B303961}"/>
            </a:ext>
          </a:extLst>
        </xdr:cNvPr>
        <xdr:cNvCxnSpPr/>
      </xdr:nvCxnSpPr>
      <xdr:spPr>
        <a:xfrm>
          <a:off x="180975" y="8201025"/>
          <a:ext cx="2387600" cy="4159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2.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P72"/>
  <sheetViews>
    <sheetView tabSelected="1" topLeftCell="C1" zoomScale="92" zoomScaleNormal="92" workbookViewId="0">
      <selection activeCell="E6" sqref="E6"/>
    </sheetView>
  </sheetViews>
  <sheetFormatPr defaultColWidth="9" defaultRowHeight="10.5" x14ac:dyDescent="0.15"/>
  <cols>
    <col min="1" max="1" width="3.125" style="1" customWidth="1"/>
    <col min="2" max="2" width="20.5" style="1" customWidth="1"/>
    <col min="3" max="3" width="10" style="1" customWidth="1"/>
    <col min="4" max="4" width="14.5" style="1" customWidth="1"/>
    <col min="5" max="5" width="9.875" style="1" bestFit="1" customWidth="1"/>
    <col min="6" max="6" width="28.75" style="1" customWidth="1"/>
    <col min="7" max="7" width="9.125" style="1" customWidth="1"/>
    <col min="8" max="8" width="9.75" style="1" bestFit="1" customWidth="1"/>
    <col min="9" max="9" width="9.125" style="1" bestFit="1" customWidth="1"/>
    <col min="10" max="10" width="7.25" style="1" customWidth="1"/>
    <col min="11" max="11" width="8.75" style="1" customWidth="1"/>
    <col min="12" max="12" width="28.75" style="1" customWidth="1"/>
    <col min="13" max="13" width="9.125" style="1" customWidth="1"/>
    <col min="14" max="14" width="9.25" style="1" customWidth="1"/>
    <col min="15" max="16384" width="9" style="1"/>
  </cols>
  <sheetData>
    <row r="1" spans="1:16" ht="17.25" customHeight="1" x14ac:dyDescent="0.15">
      <c r="A1" s="387" t="s">
        <v>497</v>
      </c>
      <c r="B1" s="406"/>
      <c r="C1" s="406"/>
      <c r="D1" s="406"/>
      <c r="E1" s="406"/>
      <c r="F1" s="406"/>
      <c r="G1" s="406"/>
      <c r="H1" s="406"/>
      <c r="I1" s="406"/>
      <c r="J1" s="406"/>
      <c r="K1" s="406"/>
      <c r="L1" s="953"/>
      <c r="M1" s="954"/>
      <c r="N1" s="954"/>
      <c r="O1" s="954"/>
      <c r="P1"/>
    </row>
    <row r="2" spans="1:16" ht="3.75" customHeight="1" x14ac:dyDescent="0.15"/>
    <row r="3" spans="1:16" ht="14.25" customHeight="1" x14ac:dyDescent="0.15">
      <c r="A3" s="820"/>
      <c r="B3" s="865" t="s">
        <v>477</v>
      </c>
      <c r="C3" s="866"/>
      <c r="D3" s="866"/>
      <c r="E3" s="866"/>
      <c r="F3" s="866"/>
      <c r="G3" s="866"/>
      <c r="H3" s="867"/>
      <c r="I3" s="866" t="s">
        <v>478</v>
      </c>
      <c r="J3" s="866"/>
      <c r="K3" s="866"/>
      <c r="L3" s="866"/>
      <c r="M3" s="866"/>
      <c r="N3" s="868"/>
    </row>
    <row r="4" spans="1:16" ht="15" customHeight="1" thickBot="1" x14ac:dyDescent="0.2">
      <c r="A4" s="821"/>
      <c r="B4" s="134" t="s">
        <v>65</v>
      </c>
      <c r="C4" s="134" t="s">
        <v>4</v>
      </c>
      <c r="D4" s="134" t="s">
        <v>5</v>
      </c>
      <c r="E4" s="134" t="s">
        <v>6</v>
      </c>
      <c r="F4" s="135" t="s">
        <v>158</v>
      </c>
      <c r="G4" s="134" t="s">
        <v>48</v>
      </c>
      <c r="H4" s="135" t="s">
        <v>51</v>
      </c>
      <c r="I4" s="136" t="s">
        <v>159</v>
      </c>
      <c r="J4" s="134" t="s">
        <v>39</v>
      </c>
      <c r="K4" s="134" t="s">
        <v>40</v>
      </c>
      <c r="L4" s="135" t="s">
        <v>158</v>
      </c>
      <c r="M4" s="134" t="s">
        <v>48</v>
      </c>
      <c r="N4" s="134" t="s">
        <v>51</v>
      </c>
    </row>
    <row r="5" spans="1:16" ht="15" customHeight="1" thickTop="1" x14ac:dyDescent="0.15">
      <c r="A5" s="904" t="s">
        <v>0</v>
      </c>
      <c r="B5" s="137" t="s">
        <v>3</v>
      </c>
      <c r="C5" s="801" t="s">
        <v>470</v>
      </c>
      <c r="D5" s="802" t="s">
        <v>470</v>
      </c>
      <c r="E5" s="1465">
        <v>0</v>
      </c>
      <c r="F5" s="140" t="s">
        <v>458</v>
      </c>
      <c r="G5" s="141">
        <f>ROUND(E5*0.2,0)</f>
        <v>0</v>
      </c>
      <c r="H5" s="142">
        <f>E5-G5</f>
        <v>0</v>
      </c>
      <c r="I5" s="143">
        <f>E5</f>
        <v>0</v>
      </c>
      <c r="J5" s="144">
        <v>0.66700000000000004</v>
      </c>
      <c r="K5" s="139">
        <f>ROUNDDOWN(I5*J5,0)</f>
        <v>0</v>
      </c>
      <c r="L5" s="140"/>
      <c r="M5" s="141">
        <f>ROUND(K5*0.2,0)</f>
        <v>0</v>
      </c>
      <c r="N5" s="142">
        <f>K5-M5</f>
        <v>0</v>
      </c>
    </row>
    <row r="6" spans="1:16" ht="15" customHeight="1" x14ac:dyDescent="0.15">
      <c r="A6" s="905"/>
      <c r="B6" s="146" t="s">
        <v>7</v>
      </c>
      <c r="C6" s="803" t="s">
        <v>470</v>
      </c>
      <c r="D6" s="804" t="s">
        <v>470</v>
      </c>
      <c r="E6" s="1466">
        <v>0</v>
      </c>
      <c r="F6" s="148" t="s">
        <v>467</v>
      </c>
      <c r="G6" s="149"/>
      <c r="H6" s="150">
        <f>E6</f>
        <v>0</v>
      </c>
      <c r="I6" s="151">
        <f t="shared" ref="I6:I9" si="0">E6</f>
        <v>0</v>
      </c>
      <c r="J6" s="152">
        <v>0.66700000000000004</v>
      </c>
      <c r="K6" s="147">
        <f t="shared" ref="K6:K9" si="1">ROUNDDOWN(I6*J6,0)</f>
        <v>0</v>
      </c>
      <c r="L6" s="148"/>
      <c r="M6" s="149"/>
      <c r="N6" s="149">
        <f>K6</f>
        <v>0</v>
      </c>
    </row>
    <row r="7" spans="1:16" ht="15" customHeight="1" x14ac:dyDescent="0.15">
      <c r="A7" s="905"/>
      <c r="B7" s="146" t="s">
        <v>8</v>
      </c>
      <c r="C7" s="1467">
        <v>0</v>
      </c>
      <c r="D7" s="1468"/>
      <c r="E7" s="800">
        <f>C7*D7/1000</f>
        <v>0</v>
      </c>
      <c r="F7" s="148" t="s">
        <v>459</v>
      </c>
      <c r="G7" s="149"/>
      <c r="H7" s="150">
        <f>E7</f>
        <v>0</v>
      </c>
      <c r="I7" s="151">
        <f t="shared" si="0"/>
        <v>0</v>
      </c>
      <c r="J7" s="152">
        <v>0.66700000000000004</v>
      </c>
      <c r="K7" s="147">
        <f t="shared" si="1"/>
        <v>0</v>
      </c>
      <c r="L7" s="148"/>
      <c r="M7" s="149"/>
      <c r="N7" s="149">
        <f>K7</f>
        <v>0</v>
      </c>
    </row>
    <row r="8" spans="1:16" ht="15" customHeight="1" x14ac:dyDescent="0.15">
      <c r="A8" s="905"/>
      <c r="B8" s="146" t="s">
        <v>9</v>
      </c>
      <c r="C8" s="803" t="s">
        <v>470</v>
      </c>
      <c r="D8" s="804" t="s">
        <v>470</v>
      </c>
      <c r="E8" s="1466">
        <v>0</v>
      </c>
      <c r="F8" s="799" t="s">
        <v>468</v>
      </c>
      <c r="G8" s="149"/>
      <c r="H8" s="150">
        <f>E8</f>
        <v>0</v>
      </c>
      <c r="I8" s="151">
        <f t="shared" si="0"/>
        <v>0</v>
      </c>
      <c r="J8" s="152">
        <v>0.66700000000000004</v>
      </c>
      <c r="K8" s="147">
        <f t="shared" si="1"/>
        <v>0</v>
      </c>
      <c r="L8" s="148"/>
      <c r="M8" s="149"/>
      <c r="N8" s="149">
        <f>K8</f>
        <v>0</v>
      </c>
    </row>
    <row r="9" spans="1:16" ht="15" customHeight="1" x14ac:dyDescent="0.15">
      <c r="A9" s="905"/>
      <c r="B9" s="146" t="s">
        <v>330</v>
      </c>
      <c r="C9" s="803" t="s">
        <v>470</v>
      </c>
      <c r="D9" s="804" t="s">
        <v>470</v>
      </c>
      <c r="E9" s="1466">
        <v>0</v>
      </c>
      <c r="F9" s="148" t="s">
        <v>469</v>
      </c>
      <c r="G9" s="149"/>
      <c r="H9" s="150">
        <f>E9</f>
        <v>0</v>
      </c>
      <c r="I9" s="151">
        <f t="shared" si="0"/>
        <v>0</v>
      </c>
      <c r="J9" s="152">
        <v>0.66700000000000004</v>
      </c>
      <c r="K9" s="147">
        <f t="shared" si="1"/>
        <v>0</v>
      </c>
      <c r="L9" s="148"/>
      <c r="M9" s="149"/>
      <c r="N9" s="149">
        <f>K9</f>
        <v>0</v>
      </c>
    </row>
    <row r="10" spans="1:16" ht="15" customHeight="1" x14ac:dyDescent="0.15">
      <c r="A10" s="905"/>
      <c r="B10" s="146" t="s">
        <v>460</v>
      </c>
      <c r="C10" s="805" t="s">
        <v>470</v>
      </c>
      <c r="D10" s="806" t="s">
        <v>470</v>
      </c>
      <c r="E10" s="1466">
        <v>0</v>
      </c>
      <c r="F10" s="148"/>
      <c r="G10" s="141">
        <f t="shared" ref="G10:G11" si="2">ROUND(E10*0.2,0)</f>
        <v>0</v>
      </c>
      <c r="H10" s="142">
        <f t="shared" ref="H10:H11" si="3">E10-G10</f>
        <v>0</v>
      </c>
      <c r="I10" s="151"/>
      <c r="J10" s="152"/>
      <c r="K10" s="147"/>
      <c r="L10" s="148" t="s">
        <v>474</v>
      </c>
      <c r="M10" s="141"/>
      <c r="N10" s="149"/>
    </row>
    <row r="11" spans="1:16" ht="15" customHeight="1" x14ac:dyDescent="0.15">
      <c r="A11" s="905"/>
      <c r="B11" s="158" t="s">
        <v>127</v>
      </c>
      <c r="C11" s="159">
        <f>SUM(E5:E10)</f>
        <v>0</v>
      </c>
      <c r="D11" s="160">
        <v>0.1</v>
      </c>
      <c r="E11" s="159">
        <f>C11*D11</f>
        <v>0</v>
      </c>
      <c r="F11" s="161"/>
      <c r="G11" s="141">
        <f t="shared" si="2"/>
        <v>0</v>
      </c>
      <c r="H11" s="142">
        <f t="shared" si="3"/>
        <v>0</v>
      </c>
      <c r="I11" s="151"/>
      <c r="J11" s="165"/>
      <c r="K11" s="159"/>
      <c r="L11" s="161"/>
      <c r="M11" s="141"/>
      <c r="N11" s="141"/>
    </row>
    <row r="12" spans="1:16" ht="15" customHeight="1" x14ac:dyDescent="0.15">
      <c r="A12" s="906"/>
      <c r="B12" s="832" t="s">
        <v>12</v>
      </c>
      <c r="C12" s="833"/>
      <c r="D12" s="832"/>
      <c r="E12" s="834">
        <f>SUM(E5:E11)</f>
        <v>0</v>
      </c>
      <c r="F12" s="835"/>
      <c r="G12" s="836">
        <f>SUM(G5:G11)</f>
        <v>0</v>
      </c>
      <c r="H12" s="837">
        <f>SUM(H5:H11)</f>
        <v>0</v>
      </c>
      <c r="I12" s="838">
        <f>SUM(I5:I11)</f>
        <v>0</v>
      </c>
      <c r="J12" s="839"/>
      <c r="K12" s="834">
        <f>SUM(K5:K11)</f>
        <v>0</v>
      </c>
      <c r="L12" s="835"/>
      <c r="M12" s="836">
        <f>SUM(M5:M11)</f>
        <v>0</v>
      </c>
      <c r="N12" s="836">
        <f>SUM(N5:N11)</f>
        <v>0</v>
      </c>
    </row>
    <row r="13" spans="1:16" ht="15" customHeight="1" x14ac:dyDescent="0.15">
      <c r="A13" s="904" t="s">
        <v>1</v>
      </c>
      <c r="B13" s="173" t="s">
        <v>160</v>
      </c>
      <c r="C13" s="807" t="s">
        <v>470</v>
      </c>
      <c r="D13" s="808" t="s">
        <v>470</v>
      </c>
      <c r="E13" s="1469">
        <v>0</v>
      </c>
      <c r="F13" s="177" t="s">
        <v>177</v>
      </c>
      <c r="G13" s="193">
        <f>E13</f>
        <v>0</v>
      </c>
      <c r="H13" s="179"/>
      <c r="I13" s="180">
        <f>E13</f>
        <v>0</v>
      </c>
      <c r="J13" s="812">
        <v>0.66700000000000004</v>
      </c>
      <c r="K13" s="176">
        <f t="shared" ref="K13:K14" si="4">ROUNDDOWN(I13*J13,0)</f>
        <v>0</v>
      </c>
      <c r="L13" s="177"/>
      <c r="M13" s="178">
        <f>K13</f>
        <v>0</v>
      </c>
      <c r="N13" s="178"/>
    </row>
    <row r="14" spans="1:16" ht="15" customHeight="1" x14ac:dyDescent="0.15">
      <c r="A14" s="905"/>
      <c r="B14" s="146" t="s">
        <v>13</v>
      </c>
      <c r="C14" s="805" t="s">
        <v>470</v>
      </c>
      <c r="D14" s="806" t="s">
        <v>470</v>
      </c>
      <c r="E14" s="1466">
        <v>0</v>
      </c>
      <c r="F14" s="148" t="s">
        <v>16</v>
      </c>
      <c r="G14" s="149">
        <f>E14</f>
        <v>0</v>
      </c>
      <c r="H14" s="150"/>
      <c r="I14" s="151">
        <f>E14</f>
        <v>0</v>
      </c>
      <c r="J14" s="813">
        <v>0.66700000000000004</v>
      </c>
      <c r="K14" s="147">
        <f t="shared" si="4"/>
        <v>0</v>
      </c>
      <c r="L14" s="148"/>
      <c r="M14" s="149">
        <f>K14</f>
        <v>0</v>
      </c>
      <c r="N14" s="149"/>
    </row>
    <row r="15" spans="1:16" ht="15" customHeight="1" x14ac:dyDescent="0.15">
      <c r="A15" s="905"/>
      <c r="B15" s="158" t="s">
        <v>287</v>
      </c>
      <c r="C15" s="159">
        <f>SUM(E13:E14)</f>
        <v>0</v>
      </c>
      <c r="D15" s="160">
        <v>0.1</v>
      </c>
      <c r="E15" s="159">
        <f>C15*D15</f>
        <v>0</v>
      </c>
      <c r="F15" s="161"/>
      <c r="G15" s="162">
        <f>E15</f>
        <v>0</v>
      </c>
      <c r="H15" s="163"/>
      <c r="I15" s="164">
        <v>0</v>
      </c>
      <c r="J15" s="472"/>
      <c r="K15" s="159"/>
      <c r="L15" s="161"/>
      <c r="M15" s="162"/>
      <c r="N15" s="162"/>
    </row>
    <row r="16" spans="1:16" ht="15" customHeight="1" x14ac:dyDescent="0.15">
      <c r="A16" s="906"/>
      <c r="B16" s="832" t="s">
        <v>14</v>
      </c>
      <c r="C16" s="833"/>
      <c r="D16" s="832"/>
      <c r="E16" s="834">
        <f>SUM(E13:E15)</f>
        <v>0</v>
      </c>
      <c r="F16" s="835"/>
      <c r="G16" s="836">
        <f>SUM(G13:G15)</f>
        <v>0</v>
      </c>
      <c r="H16" s="837">
        <f>SUM(H13:H15)</f>
        <v>0</v>
      </c>
      <c r="I16" s="838">
        <f>SUM(I13:I15)</f>
        <v>0</v>
      </c>
      <c r="J16" s="840"/>
      <c r="K16" s="834">
        <f>SUM(K13:K15)</f>
        <v>0</v>
      </c>
      <c r="L16" s="835"/>
      <c r="M16" s="836">
        <f>SUM(M13:M15)</f>
        <v>0</v>
      </c>
      <c r="N16" s="836">
        <f>SUM(N13:N15)</f>
        <v>0</v>
      </c>
    </row>
    <row r="17" spans="1:14" ht="15" customHeight="1" x14ac:dyDescent="0.15">
      <c r="A17" s="904" t="s">
        <v>2</v>
      </c>
      <c r="B17" s="173" t="s">
        <v>461</v>
      </c>
      <c r="C17" s="809" t="s">
        <v>470</v>
      </c>
      <c r="D17" s="810" t="s">
        <v>470</v>
      </c>
      <c r="E17" s="1470">
        <v>0</v>
      </c>
      <c r="F17" s="173" t="s">
        <v>471</v>
      </c>
      <c r="G17" s="178">
        <f>E17</f>
        <v>0</v>
      </c>
      <c r="H17" s="179"/>
      <c r="I17" s="180"/>
      <c r="J17" s="471"/>
      <c r="K17" s="147"/>
      <c r="L17" s="177" t="s">
        <v>475</v>
      </c>
      <c r="M17" s="149"/>
      <c r="N17" s="178"/>
    </row>
    <row r="18" spans="1:14" ht="15" customHeight="1" x14ac:dyDescent="0.15">
      <c r="A18" s="905"/>
      <c r="B18" s="137" t="s">
        <v>462</v>
      </c>
      <c r="C18" s="803" t="s">
        <v>470</v>
      </c>
      <c r="D18" s="247" t="s">
        <v>470</v>
      </c>
      <c r="E18" s="1466">
        <v>0</v>
      </c>
      <c r="F18" s="137" t="s">
        <v>472</v>
      </c>
      <c r="G18" s="149">
        <f>E18</f>
        <v>0</v>
      </c>
      <c r="H18" s="150"/>
      <c r="I18" s="151">
        <f>E1809</f>
        <v>0</v>
      </c>
      <c r="J18" s="813">
        <v>0.66700000000000004</v>
      </c>
      <c r="K18" s="147">
        <f t="shared" ref="K18:K30" si="5">ROUNDDOWN(I18*J18,0)</f>
        <v>0</v>
      </c>
      <c r="L18" s="148"/>
      <c r="M18" s="149">
        <f>K18-N18</f>
        <v>0</v>
      </c>
      <c r="N18" s="149"/>
    </row>
    <row r="19" spans="1:14" ht="15" customHeight="1" x14ac:dyDescent="0.15">
      <c r="A19" s="905"/>
      <c r="B19" s="137" t="s">
        <v>463</v>
      </c>
      <c r="C19" s="803" t="s">
        <v>470</v>
      </c>
      <c r="D19" s="245" t="s">
        <v>470</v>
      </c>
      <c r="E19" s="1466">
        <v>0</v>
      </c>
      <c r="F19" s="137"/>
      <c r="G19" s="149">
        <f t="shared" ref="G19:G20" si="6">E19</f>
        <v>0</v>
      </c>
      <c r="H19" s="150"/>
      <c r="I19" s="151"/>
      <c r="J19" s="471"/>
      <c r="K19" s="147"/>
      <c r="L19" s="148" t="s">
        <v>476</v>
      </c>
      <c r="M19" s="149"/>
      <c r="N19" s="149"/>
    </row>
    <row r="20" spans="1:14" ht="15" customHeight="1" x14ac:dyDescent="0.15">
      <c r="A20" s="905"/>
      <c r="B20" s="137" t="s">
        <v>464</v>
      </c>
      <c r="C20" s="805" t="s">
        <v>470</v>
      </c>
      <c r="D20" s="811" t="s">
        <v>470</v>
      </c>
      <c r="E20" s="1466">
        <v>0</v>
      </c>
      <c r="F20" s="5"/>
      <c r="G20" s="149">
        <f t="shared" si="6"/>
        <v>0</v>
      </c>
      <c r="H20" s="150"/>
      <c r="I20" s="151"/>
      <c r="J20" s="471"/>
      <c r="K20" s="147"/>
      <c r="L20" s="148" t="s">
        <v>474</v>
      </c>
      <c r="M20" s="149"/>
      <c r="N20" s="149"/>
    </row>
    <row r="21" spans="1:14" ht="15" customHeight="1" x14ac:dyDescent="0.15">
      <c r="A21" s="906"/>
      <c r="B21" s="832" t="s">
        <v>456</v>
      </c>
      <c r="C21" s="833"/>
      <c r="D21" s="832"/>
      <c r="E21" s="834">
        <f>SUM(E17:E20)</f>
        <v>0</v>
      </c>
      <c r="F21" s="835"/>
      <c r="G21" s="836">
        <f>SUM(G17:G20)</f>
        <v>0</v>
      </c>
      <c r="H21" s="837">
        <f>SUM(H17:H20)</f>
        <v>0</v>
      </c>
      <c r="I21" s="838">
        <f>SUM(I17:I20)</f>
        <v>0</v>
      </c>
      <c r="J21" s="840"/>
      <c r="K21" s="834">
        <f>SUM(K17:K20)</f>
        <v>0</v>
      </c>
      <c r="L21" s="835"/>
      <c r="M21" s="836">
        <f>SUM(M17:M20)</f>
        <v>0</v>
      </c>
      <c r="N21" s="836">
        <f>SUM(N17:N20)</f>
        <v>0</v>
      </c>
    </row>
    <row r="22" spans="1:14" ht="15" customHeight="1" x14ac:dyDescent="0.15">
      <c r="A22" s="904" t="s">
        <v>19</v>
      </c>
      <c r="B22" s="1471" t="s">
        <v>504</v>
      </c>
      <c r="C22" s="1472">
        <v>0</v>
      </c>
      <c r="D22" s="1473">
        <v>0</v>
      </c>
      <c r="E22" s="1470">
        <f t="shared" ref="E22:E31" si="7">C22*D22/1000</f>
        <v>0</v>
      </c>
      <c r="F22" s="177" t="s">
        <v>20</v>
      </c>
      <c r="G22" s="178"/>
      <c r="H22" s="179">
        <f>E22</f>
        <v>0</v>
      </c>
      <c r="I22" s="877">
        <f>SUM(H22:H24)*L23</f>
        <v>0</v>
      </c>
      <c r="J22" s="881">
        <v>0.66700000000000004</v>
      </c>
      <c r="K22" s="883">
        <f>ROUNDDOWN(I22*J22,0)</f>
        <v>0</v>
      </c>
      <c r="L22" s="815" t="s">
        <v>483</v>
      </c>
      <c r="M22" s="874"/>
      <c r="N22" s="874">
        <f>K22</f>
        <v>0</v>
      </c>
    </row>
    <row r="23" spans="1:14" ht="15" customHeight="1" x14ac:dyDescent="0.15">
      <c r="A23" s="905"/>
      <c r="B23" s="1474" t="s">
        <v>505</v>
      </c>
      <c r="C23" s="1475">
        <v>0</v>
      </c>
      <c r="D23" s="1476">
        <v>0</v>
      </c>
      <c r="E23" s="1477">
        <f t="shared" si="7"/>
        <v>0</v>
      </c>
      <c r="F23" s="218" t="s">
        <v>20</v>
      </c>
      <c r="G23" s="219"/>
      <c r="H23" s="782">
        <f>E23</f>
        <v>0</v>
      </c>
      <c r="I23" s="878"/>
      <c r="J23" s="882"/>
      <c r="K23" s="884">
        <f t="shared" si="5"/>
        <v>0</v>
      </c>
      <c r="L23" s="1489">
        <v>0.24</v>
      </c>
      <c r="M23" s="875"/>
      <c r="N23" s="875"/>
    </row>
    <row r="24" spans="1:14" ht="15" customHeight="1" x14ac:dyDescent="0.15">
      <c r="A24" s="905"/>
      <c r="B24" s="1478" t="s">
        <v>506</v>
      </c>
      <c r="C24" s="1479">
        <v>0</v>
      </c>
      <c r="D24" s="1480">
        <v>0</v>
      </c>
      <c r="E24" s="1481">
        <f t="shared" si="7"/>
        <v>0</v>
      </c>
      <c r="F24" s="158" t="s">
        <v>371</v>
      </c>
      <c r="G24" s="162"/>
      <c r="H24" s="783">
        <f t="shared" ref="H24:H31" si="8">E24</f>
        <v>0</v>
      </c>
      <c r="I24" s="878"/>
      <c r="J24" s="882"/>
      <c r="K24" s="884">
        <f t="shared" si="5"/>
        <v>0</v>
      </c>
      <c r="L24" s="796"/>
      <c r="M24" s="875"/>
      <c r="N24" s="875"/>
    </row>
    <row r="25" spans="1:14" ht="15" customHeight="1" x14ac:dyDescent="0.15">
      <c r="A25" s="905"/>
      <c r="B25" s="1471" t="s">
        <v>507</v>
      </c>
      <c r="C25" s="1472">
        <v>0</v>
      </c>
      <c r="D25" s="1473">
        <v>0</v>
      </c>
      <c r="E25" s="1470">
        <f t="shared" si="7"/>
        <v>0</v>
      </c>
      <c r="F25" s="177" t="s">
        <v>20</v>
      </c>
      <c r="G25" s="178"/>
      <c r="H25" s="795">
        <f>E25</f>
        <v>0</v>
      </c>
      <c r="I25" s="879">
        <f>SUM(H25:H26)*L26</f>
        <v>0</v>
      </c>
      <c r="J25" s="885">
        <v>0.66700000000000004</v>
      </c>
      <c r="K25" s="883">
        <f t="shared" si="5"/>
        <v>0</v>
      </c>
      <c r="L25" s="815" t="s">
        <v>484</v>
      </c>
      <c r="M25" s="874"/>
      <c r="N25" s="874">
        <f>K25</f>
        <v>0</v>
      </c>
    </row>
    <row r="26" spans="1:14" ht="15" customHeight="1" x14ac:dyDescent="0.15">
      <c r="A26" s="905"/>
      <c r="B26" s="1478" t="s">
        <v>508</v>
      </c>
      <c r="C26" s="1479">
        <v>0</v>
      </c>
      <c r="D26" s="1480">
        <v>0</v>
      </c>
      <c r="E26" s="1481">
        <f t="shared" si="7"/>
        <v>0</v>
      </c>
      <c r="F26" s="161" t="s">
        <v>20</v>
      </c>
      <c r="G26" s="162"/>
      <c r="H26" s="783">
        <f>E26</f>
        <v>0</v>
      </c>
      <c r="I26" s="880"/>
      <c r="J26" s="886"/>
      <c r="K26" s="887">
        <f t="shared" si="5"/>
        <v>0</v>
      </c>
      <c r="L26" s="1489">
        <v>0.24</v>
      </c>
      <c r="M26" s="876"/>
      <c r="N26" s="876"/>
    </row>
    <row r="27" spans="1:14" ht="15" customHeight="1" x14ac:dyDescent="0.15">
      <c r="A27" s="905"/>
      <c r="B27" s="1482"/>
      <c r="C27" s="1483">
        <v>0</v>
      </c>
      <c r="D27" s="1484">
        <v>0</v>
      </c>
      <c r="E27" s="1465">
        <f t="shared" si="7"/>
        <v>0</v>
      </c>
      <c r="F27" s="140" t="s">
        <v>371</v>
      </c>
      <c r="G27" s="141"/>
      <c r="H27" s="142">
        <f t="shared" si="8"/>
        <v>0</v>
      </c>
      <c r="I27" s="869"/>
      <c r="J27" s="871"/>
      <c r="K27" s="907"/>
      <c r="L27" s="797" t="s">
        <v>440</v>
      </c>
      <c r="M27" s="857"/>
      <c r="N27" s="857"/>
    </row>
    <row r="28" spans="1:14" ht="15" customHeight="1" x14ac:dyDescent="0.15">
      <c r="A28" s="905"/>
      <c r="B28" s="1478"/>
      <c r="C28" s="1479">
        <v>0</v>
      </c>
      <c r="D28" s="1480">
        <v>0</v>
      </c>
      <c r="E28" s="1481">
        <f t="shared" si="7"/>
        <v>0</v>
      </c>
      <c r="F28" s="161" t="s">
        <v>371</v>
      </c>
      <c r="G28" s="162"/>
      <c r="H28" s="163">
        <f t="shared" si="8"/>
        <v>0</v>
      </c>
      <c r="I28" s="870"/>
      <c r="J28" s="872"/>
      <c r="K28" s="908"/>
      <c r="L28" s="798"/>
      <c r="M28" s="873"/>
      <c r="N28" s="873"/>
    </row>
    <row r="29" spans="1:14" ht="15" customHeight="1" x14ac:dyDescent="0.15">
      <c r="A29" s="905"/>
      <c r="B29" s="1482" t="s">
        <v>509</v>
      </c>
      <c r="C29" s="1472">
        <v>0</v>
      </c>
      <c r="D29" s="1473">
        <v>0</v>
      </c>
      <c r="E29" s="1470">
        <f t="shared" si="7"/>
        <v>0</v>
      </c>
      <c r="F29" s="177" t="s">
        <v>332</v>
      </c>
      <c r="G29" s="178"/>
      <c r="H29" s="179">
        <f t="shared" si="8"/>
        <v>0</v>
      </c>
      <c r="I29" s="915">
        <f>SUM(H29:H30)</f>
        <v>0</v>
      </c>
      <c r="J29" s="909">
        <v>0.66700000000000004</v>
      </c>
      <c r="K29" s="911">
        <f t="shared" si="5"/>
        <v>0</v>
      </c>
      <c r="L29" s="863" t="s">
        <v>482</v>
      </c>
      <c r="M29" s="861"/>
      <c r="N29" s="857">
        <f>K29</f>
        <v>0</v>
      </c>
    </row>
    <row r="30" spans="1:14" ht="15" customHeight="1" x14ac:dyDescent="0.15">
      <c r="A30" s="905"/>
      <c r="B30" s="1478" t="s">
        <v>510</v>
      </c>
      <c r="C30" s="1485">
        <v>0</v>
      </c>
      <c r="D30" s="1486">
        <v>0</v>
      </c>
      <c r="E30" s="1466">
        <f t="shared" si="7"/>
        <v>0</v>
      </c>
      <c r="F30" s="148" t="s">
        <v>457</v>
      </c>
      <c r="G30" s="219"/>
      <c r="H30" s="150">
        <f t="shared" si="8"/>
        <v>0</v>
      </c>
      <c r="I30" s="916"/>
      <c r="J30" s="910"/>
      <c r="K30" s="912">
        <f t="shared" si="5"/>
        <v>0</v>
      </c>
      <c r="L30" s="864"/>
      <c r="M30" s="862"/>
      <c r="N30" s="858"/>
    </row>
    <row r="31" spans="1:14" ht="15" customHeight="1" x14ac:dyDescent="0.15">
      <c r="A31" s="905"/>
      <c r="B31" s="1487" t="s">
        <v>164</v>
      </c>
      <c r="C31" s="1488">
        <v>0</v>
      </c>
      <c r="D31" s="1484">
        <v>0</v>
      </c>
      <c r="E31" s="1465">
        <f t="shared" si="7"/>
        <v>0</v>
      </c>
      <c r="F31" s="140" t="s">
        <v>20</v>
      </c>
      <c r="G31" s="149"/>
      <c r="H31" s="150">
        <f t="shared" si="8"/>
        <v>0</v>
      </c>
      <c r="I31" s="151"/>
      <c r="J31" s="814"/>
      <c r="K31" s="147"/>
      <c r="L31" s="146" t="s">
        <v>479</v>
      </c>
      <c r="M31" s="141"/>
      <c r="N31" s="149"/>
    </row>
    <row r="32" spans="1:14" ht="15" customHeight="1" x14ac:dyDescent="0.15">
      <c r="A32" s="905"/>
      <c r="B32" s="215" t="s">
        <v>453</v>
      </c>
      <c r="C32" s="785">
        <f>SUM(E22:E31)</f>
        <v>0</v>
      </c>
      <c r="D32" s="784">
        <v>0.02</v>
      </c>
      <c r="E32" s="800">
        <f>C32*D32</f>
        <v>0</v>
      </c>
      <c r="F32" s="148" t="s">
        <v>454</v>
      </c>
      <c r="G32" s="219"/>
      <c r="H32" s="150">
        <f>E32</f>
        <v>0</v>
      </c>
      <c r="I32" s="220"/>
      <c r="J32" s="474"/>
      <c r="K32" s="217"/>
      <c r="L32" s="218"/>
      <c r="M32" s="219"/>
      <c r="N32" s="219"/>
    </row>
    <row r="33" spans="1:14" ht="15" customHeight="1" x14ac:dyDescent="0.15">
      <c r="A33" s="905"/>
      <c r="B33" s="158" t="s">
        <v>127</v>
      </c>
      <c r="C33" s="159">
        <f>SUM(E22:E32)</f>
        <v>0</v>
      </c>
      <c r="D33" s="160">
        <v>0.1</v>
      </c>
      <c r="E33" s="159">
        <f>C33*D33</f>
        <v>0</v>
      </c>
      <c r="F33" s="188"/>
      <c r="G33" s="162"/>
      <c r="H33" s="163">
        <f>E33</f>
        <v>0</v>
      </c>
      <c r="I33" s="164"/>
      <c r="J33" s="165"/>
      <c r="K33" s="159"/>
      <c r="L33" s="188"/>
      <c r="M33" s="162"/>
      <c r="N33" s="162"/>
    </row>
    <row r="34" spans="1:14" ht="15" customHeight="1" x14ac:dyDescent="0.15">
      <c r="A34" s="906"/>
      <c r="B34" s="832" t="s">
        <v>21</v>
      </c>
      <c r="C34" s="833"/>
      <c r="D34" s="832"/>
      <c r="E34" s="834">
        <f>SUM(E22:E33)</f>
        <v>0</v>
      </c>
      <c r="F34" s="835"/>
      <c r="G34" s="836">
        <f>SUM(G22:G33)</f>
        <v>0</v>
      </c>
      <c r="H34" s="837">
        <f>SUM(H22:H33)</f>
        <v>0</v>
      </c>
      <c r="I34" s="838">
        <f>SUM(I22:I33)</f>
        <v>0</v>
      </c>
      <c r="J34" s="834"/>
      <c r="K34" s="834">
        <f>SUM(K22:K33)</f>
        <v>0</v>
      </c>
      <c r="L34" s="835"/>
      <c r="M34" s="836">
        <f>SUM(M22:M33)</f>
        <v>0</v>
      </c>
      <c r="N34" s="836">
        <f>SUM(N22:N33)</f>
        <v>0</v>
      </c>
    </row>
    <row r="35" spans="1:14" ht="15" hidden="1" customHeight="1" x14ac:dyDescent="0.15">
      <c r="A35" s="888" t="s">
        <v>169</v>
      </c>
      <c r="B35" s="173" t="s">
        <v>123</v>
      </c>
      <c r="C35" s="240"/>
      <c r="D35" s="173"/>
      <c r="E35" s="176"/>
      <c r="F35" s="177"/>
      <c r="G35" s="178"/>
      <c r="H35" s="179"/>
      <c r="I35" s="241">
        <v>0</v>
      </c>
      <c r="J35" s="242">
        <v>30</v>
      </c>
      <c r="K35" s="176" t="e">
        <f>I35*J35*#REF!/1000</f>
        <v>#REF!</v>
      </c>
      <c r="L35" s="177" t="s">
        <v>172</v>
      </c>
      <c r="M35" s="193" t="e">
        <f>K35</f>
        <v>#REF!</v>
      </c>
      <c r="N35" s="178"/>
    </row>
    <row r="36" spans="1:14" ht="15" hidden="1" customHeight="1" x14ac:dyDescent="0.15">
      <c r="A36" s="889"/>
      <c r="B36" s="232" t="s">
        <v>126</v>
      </c>
      <c r="C36" s="233"/>
      <c r="D36" s="8"/>
      <c r="E36" s="19"/>
      <c r="F36" s="234"/>
      <c r="G36" s="235"/>
      <c r="H36" s="236"/>
      <c r="I36" s="237" t="e">
        <f>#REF!</f>
        <v>#REF!</v>
      </c>
      <c r="J36" s="238">
        <v>53</v>
      </c>
      <c r="K36" s="19" t="e">
        <f>I36*J36*#REF!/1000</f>
        <v>#REF!</v>
      </c>
      <c r="L36" s="234" t="e">
        <f>"単価：路線価"&amp;#REF!&amp;"千円/㎡×1.2"</f>
        <v>#REF!</v>
      </c>
      <c r="M36" s="162" t="e">
        <f>K36</f>
        <v>#REF!</v>
      </c>
      <c r="N36" s="235"/>
    </row>
    <row r="37" spans="1:14" ht="15" hidden="1" customHeight="1" x14ac:dyDescent="0.15">
      <c r="A37" s="890"/>
      <c r="B37" s="224" t="s">
        <v>397</v>
      </c>
      <c r="C37" s="225"/>
      <c r="D37" s="226"/>
      <c r="E37" s="227"/>
      <c r="F37" s="228"/>
      <c r="G37" s="168"/>
      <c r="H37" s="169"/>
      <c r="I37" s="229"/>
      <c r="J37" s="230"/>
      <c r="K37" s="227" t="e">
        <f>SUM(K35:K36)</f>
        <v>#REF!</v>
      </c>
      <c r="L37" s="228"/>
      <c r="M37" s="168" t="e">
        <f>SUM(M35:M36)</f>
        <v>#REF!</v>
      </c>
      <c r="N37" s="168">
        <f>SUM(N35:N36)</f>
        <v>0</v>
      </c>
    </row>
    <row r="38" spans="1:14" ht="15" hidden="1" customHeight="1" x14ac:dyDescent="0.15">
      <c r="A38" s="786"/>
      <c r="B38" s="793" t="s">
        <v>433</v>
      </c>
      <c r="C38" s="726"/>
      <c r="D38" s="727"/>
      <c r="E38" s="728"/>
      <c r="F38" s="18"/>
      <c r="G38" s="189"/>
      <c r="H38" s="190"/>
      <c r="I38" s="730"/>
      <c r="J38" s="731"/>
      <c r="K38" s="728"/>
      <c r="L38" s="18"/>
      <c r="M38" s="189" t="e">
        <f>K38*#REF!</f>
        <v>#REF!</v>
      </c>
      <c r="N38" s="189" t="e">
        <f>K38*#REF!</f>
        <v>#REF!</v>
      </c>
    </row>
    <row r="39" spans="1:14" ht="15" customHeight="1" x14ac:dyDescent="0.15">
      <c r="A39" s="816" t="s">
        <v>161</v>
      </c>
      <c r="B39" s="794"/>
      <c r="C39" s="8"/>
      <c r="D39" s="8"/>
      <c r="E39" s="732">
        <f>SUM(E34,E21,E16,E12)</f>
        <v>0</v>
      </c>
      <c r="F39" s="234"/>
      <c r="G39" s="235">
        <f>SUM(G12,G16,G21,G34)</f>
        <v>0</v>
      </c>
      <c r="H39" s="236">
        <f>SUM(H12,H16,H21,H34)</f>
        <v>0</v>
      </c>
      <c r="I39" s="859" t="s">
        <v>448</v>
      </c>
      <c r="J39" s="860"/>
      <c r="K39" s="732">
        <f>SUM(K12,K16,K21,K34)</f>
        <v>0</v>
      </c>
      <c r="L39" s="234"/>
      <c r="M39" s="235"/>
      <c r="N39" s="235"/>
    </row>
    <row r="40" spans="1:14" ht="15" customHeight="1" x14ac:dyDescent="0.15">
      <c r="A40" s="841" t="s">
        <v>290</v>
      </c>
      <c r="B40" s="842"/>
      <c r="C40" s="843">
        <f>E39</f>
        <v>0</v>
      </c>
      <c r="D40" s="844">
        <v>2.5000000000000001E-2</v>
      </c>
      <c r="E40" s="843">
        <f>C40*D40</f>
        <v>0</v>
      </c>
      <c r="F40" s="835" t="s">
        <v>465</v>
      </c>
      <c r="G40" s="836">
        <f>ROUND(E40*0.2,0)</f>
        <v>0</v>
      </c>
      <c r="H40" s="837">
        <f>E40-G40</f>
        <v>0</v>
      </c>
      <c r="I40" s="913"/>
      <c r="J40" s="914"/>
      <c r="K40" s="843"/>
      <c r="L40" s="835"/>
      <c r="M40" s="836"/>
      <c r="N40" s="836"/>
    </row>
    <row r="41" spans="1:14" ht="15" customHeight="1" x14ac:dyDescent="0.15">
      <c r="A41" s="841" t="s">
        <v>291</v>
      </c>
      <c r="B41" s="845"/>
      <c r="C41" s="843"/>
      <c r="D41" s="846">
        <v>4</v>
      </c>
      <c r="E41" s="843">
        <f>(E39+E40)*0.15*0.015*D41</f>
        <v>0</v>
      </c>
      <c r="F41" s="847" t="s">
        <v>473</v>
      </c>
      <c r="G41" s="836">
        <f>ROUND(E41*0.2,0)</f>
        <v>0</v>
      </c>
      <c r="H41" s="837">
        <f>E41-G41</f>
        <v>0</v>
      </c>
      <c r="I41" s="913"/>
      <c r="J41" s="914"/>
      <c r="K41" s="843"/>
      <c r="L41" s="835"/>
      <c r="M41" s="836"/>
      <c r="N41" s="836"/>
    </row>
    <row r="42" spans="1:14" ht="15" customHeight="1" thickBot="1" x14ac:dyDescent="0.2">
      <c r="A42" s="848" t="s">
        <v>118</v>
      </c>
      <c r="B42" s="849"/>
      <c r="C42" s="850">
        <f>E39+E40+E41</f>
        <v>0</v>
      </c>
      <c r="D42" s="851">
        <v>0.02</v>
      </c>
      <c r="E42" s="850">
        <f>C42*D42</f>
        <v>0</v>
      </c>
      <c r="F42" s="852" t="s">
        <v>466</v>
      </c>
      <c r="G42" s="853">
        <f>ROUND(E42*0.2,0)</f>
        <v>0</v>
      </c>
      <c r="H42" s="854">
        <f>E42-G42</f>
        <v>0</v>
      </c>
      <c r="I42" s="891"/>
      <c r="J42" s="892"/>
      <c r="K42" s="850"/>
      <c r="L42" s="855"/>
      <c r="M42" s="853"/>
      <c r="N42" s="853"/>
    </row>
    <row r="43" spans="1:14" ht="15" customHeight="1" thickTop="1" x14ac:dyDescent="0.15">
      <c r="A43" s="817" t="s">
        <v>37</v>
      </c>
      <c r="B43" s="204"/>
      <c r="C43" s="199"/>
      <c r="D43" s="818"/>
      <c r="E43" s="199">
        <f>E39+E40+E41+E42</f>
        <v>0</v>
      </c>
      <c r="F43" s="197"/>
      <c r="G43" s="200">
        <f>SUM(G39:G42)</f>
        <v>0</v>
      </c>
      <c r="H43" s="201">
        <f>SUM(H39:H42)</f>
        <v>0</v>
      </c>
      <c r="I43" s="819" t="s">
        <v>62</v>
      </c>
      <c r="J43" s="203"/>
      <c r="K43" s="199">
        <f>K39</f>
        <v>0</v>
      </c>
      <c r="L43" s="204"/>
      <c r="M43" s="200">
        <f>SUM(M12,M16,M21,M34)</f>
        <v>0</v>
      </c>
      <c r="N43" s="200">
        <f>SUM(N12,N16,N21,N34)</f>
        <v>0</v>
      </c>
    </row>
    <row r="44" spans="1:14" x14ac:dyDescent="0.15">
      <c r="I44" s="1" t="s">
        <v>480</v>
      </c>
    </row>
    <row r="45" spans="1:14" x14ac:dyDescent="0.15">
      <c r="I45" s="1" t="s">
        <v>481</v>
      </c>
    </row>
    <row r="46" spans="1:14" ht="13.5" x14ac:dyDescent="0.15">
      <c r="C46" t="s">
        <v>486</v>
      </c>
    </row>
    <row r="47" spans="1:14" ht="11.25" thickBot="1" x14ac:dyDescent="0.2"/>
    <row r="48" spans="1:14" ht="14.25" thickBot="1" x14ac:dyDescent="0.2">
      <c r="C48" s="32"/>
      <c r="D48" s="917" t="s">
        <v>91</v>
      </c>
      <c r="E48" s="894"/>
      <c r="F48" s="822" t="s">
        <v>485</v>
      </c>
      <c r="G48" s="894" t="s">
        <v>86</v>
      </c>
      <c r="H48" s="902"/>
      <c r="I48" s="893" t="s">
        <v>91</v>
      </c>
      <c r="J48" s="894"/>
      <c r="K48" s="895"/>
      <c r="L48" s="822" t="s">
        <v>485</v>
      </c>
      <c r="M48" s="894" t="s">
        <v>86</v>
      </c>
      <c r="N48" s="928"/>
    </row>
    <row r="49" spans="2:15" ht="13.5" x14ac:dyDescent="0.15">
      <c r="C49" s="32"/>
      <c r="D49" s="918" t="s">
        <v>0</v>
      </c>
      <c r="E49" s="897"/>
      <c r="F49" s="823">
        <f>E12</f>
        <v>0</v>
      </c>
      <c r="G49" s="898"/>
      <c r="H49" s="903"/>
      <c r="I49" s="896" t="s">
        <v>62</v>
      </c>
      <c r="J49" s="897"/>
      <c r="K49" s="898"/>
      <c r="L49" s="823">
        <f>K43</f>
        <v>0</v>
      </c>
      <c r="M49" s="898"/>
      <c r="N49" s="929"/>
    </row>
    <row r="50" spans="2:15" ht="13.5" x14ac:dyDescent="0.15">
      <c r="C50" s="32"/>
      <c r="D50" s="919" t="s">
        <v>1</v>
      </c>
      <c r="E50" s="900"/>
      <c r="F50" s="826">
        <f>E16</f>
        <v>0</v>
      </c>
      <c r="G50" s="901"/>
      <c r="H50" s="932"/>
      <c r="I50" s="899" t="s">
        <v>63</v>
      </c>
      <c r="J50" s="900"/>
      <c r="K50" s="901"/>
      <c r="L50" s="856">
        <f>F56-L49</f>
        <v>0</v>
      </c>
      <c r="M50" s="901"/>
      <c r="N50" s="930"/>
    </row>
    <row r="51" spans="2:15" ht="13.5" x14ac:dyDescent="0.15">
      <c r="C51" s="32"/>
      <c r="D51" s="919" t="s">
        <v>2</v>
      </c>
      <c r="E51" s="900"/>
      <c r="F51" s="826">
        <f>E21</f>
        <v>0</v>
      </c>
      <c r="G51" s="901"/>
      <c r="H51" s="932"/>
      <c r="I51" s="899"/>
      <c r="J51" s="900"/>
      <c r="K51" s="901"/>
      <c r="L51" s="827"/>
      <c r="M51" s="901"/>
      <c r="N51" s="930"/>
    </row>
    <row r="52" spans="2:15" ht="13.5" x14ac:dyDescent="0.15">
      <c r="C52" s="32"/>
      <c r="D52" s="919" t="s">
        <v>19</v>
      </c>
      <c r="E52" s="900"/>
      <c r="F52" s="826">
        <f>E34</f>
        <v>0</v>
      </c>
      <c r="G52" s="901"/>
      <c r="H52" s="932"/>
      <c r="I52" s="899"/>
      <c r="J52" s="900"/>
      <c r="K52" s="901"/>
      <c r="L52" s="827"/>
      <c r="M52" s="901"/>
      <c r="N52" s="930"/>
    </row>
    <row r="53" spans="2:15" ht="13.5" x14ac:dyDescent="0.15">
      <c r="C53" s="32"/>
      <c r="D53" s="919" t="s">
        <v>93</v>
      </c>
      <c r="E53" s="900"/>
      <c r="F53" s="826">
        <f>E40</f>
        <v>0</v>
      </c>
      <c r="G53" s="901"/>
      <c r="H53" s="932"/>
      <c r="I53" s="899"/>
      <c r="J53" s="900"/>
      <c r="K53" s="901"/>
      <c r="L53" s="827"/>
      <c r="M53" s="901"/>
      <c r="N53" s="930"/>
    </row>
    <row r="54" spans="2:15" ht="13.5" x14ac:dyDescent="0.15">
      <c r="C54" s="32"/>
      <c r="D54" s="919" t="s">
        <v>168</v>
      </c>
      <c r="E54" s="900"/>
      <c r="F54" s="826">
        <f>E41</f>
        <v>0</v>
      </c>
      <c r="G54" s="901"/>
      <c r="H54" s="932"/>
      <c r="I54" s="899"/>
      <c r="J54" s="900"/>
      <c r="K54" s="901"/>
      <c r="L54" s="827"/>
      <c r="M54" s="901"/>
      <c r="N54" s="930"/>
    </row>
    <row r="55" spans="2:15" ht="14.25" thickBot="1" x14ac:dyDescent="0.2">
      <c r="C55" s="32"/>
      <c r="D55" s="920" t="s">
        <v>451</v>
      </c>
      <c r="E55" s="921"/>
      <c r="F55" s="829">
        <f>E42</f>
        <v>0</v>
      </c>
      <c r="G55" s="926"/>
      <c r="H55" s="927"/>
      <c r="I55" s="933"/>
      <c r="J55" s="921"/>
      <c r="K55" s="926"/>
      <c r="L55" s="830"/>
      <c r="M55" s="926"/>
      <c r="N55" s="931"/>
    </row>
    <row r="56" spans="2:15" ht="14.25" thickTop="1" x14ac:dyDescent="0.15">
      <c r="C56" s="32"/>
      <c r="D56" s="922" t="s">
        <v>31</v>
      </c>
      <c r="E56" s="923"/>
      <c r="F56" s="944">
        <f>SUM(F49:F55)</f>
        <v>0</v>
      </c>
      <c r="G56" s="934"/>
      <c r="H56" s="945"/>
      <c r="I56" s="947" t="s">
        <v>31</v>
      </c>
      <c r="J56" s="923"/>
      <c r="K56" s="934"/>
      <c r="L56" s="934">
        <f>SUM(L49:L55)</f>
        <v>0</v>
      </c>
      <c r="M56" s="934"/>
      <c r="N56" s="935"/>
    </row>
    <row r="57" spans="2:15" ht="14.25" thickBot="1" x14ac:dyDescent="0.2">
      <c r="C57" s="32"/>
      <c r="D57" s="924"/>
      <c r="E57" s="925"/>
      <c r="F57" s="936"/>
      <c r="G57" s="936"/>
      <c r="H57" s="946"/>
      <c r="I57" s="948"/>
      <c r="J57" s="925"/>
      <c r="K57" s="936"/>
      <c r="L57" s="936"/>
      <c r="M57" s="936"/>
      <c r="N57" s="937"/>
    </row>
    <row r="59" spans="2:15" ht="13.5" x14ac:dyDescent="0.15">
      <c r="B59" t="s">
        <v>496</v>
      </c>
    </row>
    <row r="60" spans="2:15" ht="11.25" thickBot="1" x14ac:dyDescent="0.2"/>
    <row r="61" spans="2:15" ht="12" x14ac:dyDescent="0.15">
      <c r="B61" s="940" t="s">
        <v>147</v>
      </c>
      <c r="C61" s="941"/>
      <c r="D61" s="941" t="s">
        <v>487</v>
      </c>
      <c r="E61" s="938" t="s">
        <v>488</v>
      </c>
      <c r="F61" s="938"/>
      <c r="G61" s="938" t="s">
        <v>489</v>
      </c>
      <c r="H61" s="938"/>
      <c r="I61" s="941" t="s">
        <v>495</v>
      </c>
      <c r="J61" s="941"/>
      <c r="K61" s="941"/>
      <c r="L61" s="941"/>
      <c r="M61" s="941" t="s">
        <v>492</v>
      </c>
      <c r="N61" s="942"/>
      <c r="O61" s="951" t="s">
        <v>86</v>
      </c>
    </row>
    <row r="62" spans="2:15" ht="12.75" thickBot="1" x14ac:dyDescent="0.2">
      <c r="B62" s="924"/>
      <c r="C62" s="925"/>
      <c r="D62" s="925"/>
      <c r="E62" s="939" t="s">
        <v>64</v>
      </c>
      <c r="F62" s="939"/>
      <c r="G62" s="939" t="s">
        <v>32</v>
      </c>
      <c r="H62" s="939"/>
      <c r="I62" s="925" t="s">
        <v>490</v>
      </c>
      <c r="J62" s="925"/>
      <c r="K62" s="925"/>
      <c r="L62" s="831" t="s">
        <v>491</v>
      </c>
      <c r="M62" s="925"/>
      <c r="N62" s="943"/>
      <c r="O62" s="952"/>
    </row>
    <row r="63" spans="2:15" ht="12" x14ac:dyDescent="0.15">
      <c r="B63" s="1490" t="s">
        <v>501</v>
      </c>
      <c r="C63" s="1491"/>
      <c r="D63" s="1492"/>
      <c r="E63" s="1493">
        <v>0</v>
      </c>
      <c r="F63" s="1493"/>
      <c r="G63" s="1493">
        <v>0</v>
      </c>
      <c r="H63" s="1493"/>
      <c r="I63" s="898" t="e">
        <f>ROUND(G63/E63*1000,3)</f>
        <v>#DIV/0!</v>
      </c>
      <c r="J63" s="898"/>
      <c r="K63" s="898"/>
      <c r="L63" s="824" t="e">
        <f>ROUND(I63*3.30578,3)</f>
        <v>#DIV/0!</v>
      </c>
      <c r="M63" s="1504" t="s">
        <v>494</v>
      </c>
      <c r="N63" s="1505"/>
      <c r="O63" s="825"/>
    </row>
    <row r="64" spans="2:15" ht="12" x14ac:dyDescent="0.15">
      <c r="B64" s="1494" t="s">
        <v>501</v>
      </c>
      <c r="C64" s="1495"/>
      <c r="D64" s="1496"/>
      <c r="E64" s="1497"/>
      <c r="F64" s="1497"/>
      <c r="G64" s="1497">
        <v>0</v>
      </c>
      <c r="H64" s="1497"/>
      <c r="I64" s="901" t="e">
        <f t="shared" ref="I64:I71" si="9">ROUND(G64/E64*1000,3)</f>
        <v>#DIV/0!</v>
      </c>
      <c r="J64" s="901"/>
      <c r="K64" s="901"/>
      <c r="L64" s="827" t="e">
        <f t="shared" ref="L64:L71" si="10">ROUND(I64*3.30578,3)</f>
        <v>#DIV/0!</v>
      </c>
      <c r="M64" s="1506"/>
      <c r="N64" s="1507"/>
      <c r="O64" s="828"/>
    </row>
    <row r="65" spans="2:15" ht="12" x14ac:dyDescent="0.15">
      <c r="B65" s="1494" t="s">
        <v>502</v>
      </c>
      <c r="C65" s="1495"/>
      <c r="D65" s="1496"/>
      <c r="E65" s="1497"/>
      <c r="F65" s="1497"/>
      <c r="G65" s="1497">
        <v>0</v>
      </c>
      <c r="H65" s="1497"/>
      <c r="I65" s="901" t="e">
        <f t="shared" si="9"/>
        <v>#DIV/0!</v>
      </c>
      <c r="J65" s="901"/>
      <c r="K65" s="901"/>
      <c r="L65" s="827" t="e">
        <f t="shared" si="10"/>
        <v>#DIV/0!</v>
      </c>
      <c r="M65" s="1506"/>
      <c r="N65" s="1507"/>
      <c r="O65" s="828"/>
    </row>
    <row r="66" spans="2:15" ht="12" x14ac:dyDescent="0.15">
      <c r="B66" s="1494" t="s">
        <v>503</v>
      </c>
      <c r="C66" s="1495"/>
      <c r="D66" s="1496"/>
      <c r="E66" s="1497"/>
      <c r="F66" s="1497"/>
      <c r="G66" s="1497">
        <v>0</v>
      </c>
      <c r="H66" s="1497"/>
      <c r="I66" s="901" t="e">
        <f t="shared" si="9"/>
        <v>#DIV/0!</v>
      </c>
      <c r="J66" s="901"/>
      <c r="K66" s="901"/>
      <c r="L66" s="827" t="e">
        <f t="shared" si="10"/>
        <v>#DIV/0!</v>
      </c>
      <c r="M66" s="1506"/>
      <c r="N66" s="1507"/>
      <c r="O66" s="828"/>
    </row>
    <row r="67" spans="2:15" ht="12" x14ac:dyDescent="0.15">
      <c r="B67" s="1498"/>
      <c r="C67" s="1499"/>
      <c r="D67" s="1496"/>
      <c r="E67" s="1497"/>
      <c r="F67" s="1497"/>
      <c r="G67" s="1497">
        <v>0</v>
      </c>
      <c r="H67" s="1497"/>
      <c r="I67" s="901" t="e">
        <f t="shared" si="9"/>
        <v>#DIV/0!</v>
      </c>
      <c r="J67" s="901"/>
      <c r="K67" s="901"/>
      <c r="L67" s="827" t="e">
        <f t="shared" si="10"/>
        <v>#DIV/0!</v>
      </c>
      <c r="M67" s="1506" t="s">
        <v>493</v>
      </c>
      <c r="N67" s="1507"/>
      <c r="O67" s="828"/>
    </row>
    <row r="68" spans="2:15" ht="12" x14ac:dyDescent="0.15">
      <c r="B68" s="1494"/>
      <c r="C68" s="1495"/>
      <c r="D68" s="1496"/>
      <c r="E68" s="1497"/>
      <c r="F68" s="1497"/>
      <c r="G68" s="1497">
        <v>0</v>
      </c>
      <c r="H68" s="1497"/>
      <c r="I68" s="901" t="e">
        <f t="shared" si="9"/>
        <v>#DIV/0!</v>
      </c>
      <c r="J68" s="901"/>
      <c r="K68" s="901"/>
      <c r="L68" s="827" t="e">
        <f t="shared" si="10"/>
        <v>#DIV/0!</v>
      </c>
      <c r="M68" s="1506"/>
      <c r="N68" s="1507"/>
      <c r="O68" s="828"/>
    </row>
    <row r="69" spans="2:15" ht="12.75" thickBot="1" x14ac:dyDescent="0.2">
      <c r="B69" s="1500"/>
      <c r="C69" s="1501"/>
      <c r="D69" s="1502"/>
      <c r="E69" s="1503"/>
      <c r="F69" s="1503"/>
      <c r="G69" s="1503">
        <v>0</v>
      </c>
      <c r="H69" s="1503"/>
      <c r="I69" s="926" t="e">
        <f t="shared" si="9"/>
        <v>#DIV/0!</v>
      </c>
      <c r="J69" s="926"/>
      <c r="K69" s="926"/>
      <c r="L69" s="830" t="e">
        <f t="shared" si="10"/>
        <v>#DIV/0!</v>
      </c>
      <c r="M69" s="1508"/>
      <c r="N69" s="1509"/>
      <c r="O69" s="828"/>
    </row>
    <row r="70" spans="2:15" ht="11.25" thickTop="1" x14ac:dyDescent="0.15">
      <c r="B70" s="922" t="s">
        <v>31</v>
      </c>
      <c r="C70" s="923"/>
      <c r="D70" s="934"/>
      <c r="E70" s="934">
        <f>SUM(E63:F69)</f>
        <v>0</v>
      </c>
      <c r="F70" s="934"/>
      <c r="G70" s="949">
        <f>SUM(G63:H69)</f>
        <v>0</v>
      </c>
      <c r="H70" s="949"/>
      <c r="I70" s="934" t="e">
        <f t="shared" si="9"/>
        <v>#DIV/0!</v>
      </c>
      <c r="J70" s="934"/>
      <c r="K70" s="934"/>
      <c r="L70" s="934" t="e">
        <f t="shared" si="10"/>
        <v>#DIV/0!</v>
      </c>
      <c r="M70" s="934"/>
      <c r="N70" s="945"/>
      <c r="O70" s="930"/>
    </row>
    <row r="71" spans="2:15" ht="11.25" thickBot="1" x14ac:dyDescent="0.2">
      <c r="B71" s="924"/>
      <c r="C71" s="925"/>
      <c r="D71" s="936"/>
      <c r="E71" s="936"/>
      <c r="F71" s="936"/>
      <c r="G71" s="950"/>
      <c r="H71" s="950"/>
      <c r="I71" s="936" t="e">
        <f t="shared" si="9"/>
        <v>#DIV/0!</v>
      </c>
      <c r="J71" s="936"/>
      <c r="K71" s="936"/>
      <c r="L71" s="936" t="e">
        <f t="shared" si="10"/>
        <v>#DIV/0!</v>
      </c>
      <c r="M71" s="936"/>
      <c r="N71" s="946"/>
      <c r="O71" s="937"/>
    </row>
    <row r="72" spans="2:15" x14ac:dyDescent="0.15">
      <c r="H72" s="16">
        <f>L50</f>
        <v>0</v>
      </c>
    </row>
  </sheetData>
  <sheetProtection algorithmName="SHA-512" hashValue="ZUlwR5dIIQSKv55MMDFkeLv7Yni3aNqmWohy3ALhjRgNCUufKEgISK1U4D21UA6gjl/GUIiizg5QsWHkkhotUg==" saltValue="TEP8h55UaKDNasx1JjHljA==" spinCount="100000" sheet="1" objects="1" scenarios="1"/>
  <mergeCells count="124">
    <mergeCell ref="G69:H69"/>
    <mergeCell ref="B66:C66"/>
    <mergeCell ref="B68:C68"/>
    <mergeCell ref="O61:O62"/>
    <mergeCell ref="O70:O71"/>
    <mergeCell ref="L1:O1"/>
    <mergeCell ref="I67:K67"/>
    <mergeCell ref="I69:K69"/>
    <mergeCell ref="L70:L71"/>
    <mergeCell ref="M66:N66"/>
    <mergeCell ref="M67:N67"/>
    <mergeCell ref="M68:N68"/>
    <mergeCell ref="M69:N69"/>
    <mergeCell ref="M70:N71"/>
    <mergeCell ref="B69:C69"/>
    <mergeCell ref="I61:L61"/>
    <mergeCell ref="I62:K62"/>
    <mergeCell ref="I63:K63"/>
    <mergeCell ref="I64:K64"/>
    <mergeCell ref="I65:K65"/>
    <mergeCell ref="I66:K66"/>
    <mergeCell ref="B70:C71"/>
    <mergeCell ref="D70:D71"/>
    <mergeCell ref="E70:F71"/>
    <mergeCell ref="G70:H71"/>
    <mergeCell ref="I70:K71"/>
    <mergeCell ref="I68:K68"/>
    <mergeCell ref="E66:F66"/>
    <mergeCell ref="B67:C67"/>
    <mergeCell ref="E67:F67"/>
    <mergeCell ref="E68:F68"/>
    <mergeCell ref="E69:F69"/>
    <mergeCell ref="G63:H63"/>
    <mergeCell ref="G64:H64"/>
    <mergeCell ref="G65:H65"/>
    <mergeCell ref="G66:H66"/>
    <mergeCell ref="G67:H67"/>
    <mergeCell ref="G68:H68"/>
    <mergeCell ref="M61:N62"/>
    <mergeCell ref="M63:N63"/>
    <mergeCell ref="M64:N64"/>
    <mergeCell ref="M65:N65"/>
    <mergeCell ref="E63:F63"/>
    <mergeCell ref="F56:F57"/>
    <mergeCell ref="G56:H57"/>
    <mergeCell ref="L56:L57"/>
    <mergeCell ref="E64:F64"/>
    <mergeCell ref="E65:F65"/>
    <mergeCell ref="I56:K57"/>
    <mergeCell ref="B63:C63"/>
    <mergeCell ref="B64:C64"/>
    <mergeCell ref="B65:C65"/>
    <mergeCell ref="G61:H61"/>
    <mergeCell ref="G62:H62"/>
    <mergeCell ref="B61:C62"/>
    <mergeCell ref="D61:D62"/>
    <mergeCell ref="E61:F61"/>
    <mergeCell ref="E62:F62"/>
    <mergeCell ref="D52:E52"/>
    <mergeCell ref="D53:E53"/>
    <mergeCell ref="D54:E54"/>
    <mergeCell ref="D55:E55"/>
    <mergeCell ref="D56:E57"/>
    <mergeCell ref="G55:H55"/>
    <mergeCell ref="M48:N48"/>
    <mergeCell ref="M49:N49"/>
    <mergeCell ref="M50:N50"/>
    <mergeCell ref="M51:N51"/>
    <mergeCell ref="M52:N52"/>
    <mergeCell ref="M53:N53"/>
    <mergeCell ref="M54:N54"/>
    <mergeCell ref="M55:N55"/>
    <mergeCell ref="G50:H50"/>
    <mergeCell ref="G51:H51"/>
    <mergeCell ref="G52:H52"/>
    <mergeCell ref="G53:H53"/>
    <mergeCell ref="G54:H54"/>
    <mergeCell ref="I52:K52"/>
    <mergeCell ref="I53:K53"/>
    <mergeCell ref="I54:K54"/>
    <mergeCell ref="I55:K55"/>
    <mergeCell ref="M56:N57"/>
    <mergeCell ref="A35:A37"/>
    <mergeCell ref="I42:J42"/>
    <mergeCell ref="I48:K48"/>
    <mergeCell ref="I49:K49"/>
    <mergeCell ref="I50:K50"/>
    <mergeCell ref="I51:K51"/>
    <mergeCell ref="G48:H48"/>
    <mergeCell ref="G49:H49"/>
    <mergeCell ref="A5:A12"/>
    <mergeCell ref="A13:A16"/>
    <mergeCell ref="A17:A21"/>
    <mergeCell ref="A22:A34"/>
    <mergeCell ref="K27:K28"/>
    <mergeCell ref="J29:J30"/>
    <mergeCell ref="K29:K30"/>
    <mergeCell ref="I41:J41"/>
    <mergeCell ref="I40:J40"/>
    <mergeCell ref="I29:I30"/>
    <mergeCell ref="D48:E48"/>
    <mergeCell ref="D49:E49"/>
    <mergeCell ref="D50:E50"/>
    <mergeCell ref="D51:E51"/>
    <mergeCell ref="N29:N30"/>
    <mergeCell ref="I39:J39"/>
    <mergeCell ref="M29:M30"/>
    <mergeCell ref="L29:L30"/>
    <mergeCell ref="B3:H3"/>
    <mergeCell ref="I3:N3"/>
    <mergeCell ref="I27:I28"/>
    <mergeCell ref="J27:J28"/>
    <mergeCell ref="M27:M28"/>
    <mergeCell ref="N27:N28"/>
    <mergeCell ref="M22:M24"/>
    <mergeCell ref="M25:M26"/>
    <mergeCell ref="N22:N24"/>
    <mergeCell ref="N25:N26"/>
    <mergeCell ref="I22:I24"/>
    <mergeCell ref="I25:I26"/>
    <mergeCell ref="J22:J24"/>
    <mergeCell ref="K22:K24"/>
    <mergeCell ref="J25:J26"/>
    <mergeCell ref="K25:K26"/>
  </mergeCells>
  <phoneticPr fontId="2"/>
  <printOptions horizontalCentered="1" verticalCentered="1"/>
  <pageMargins left="0.35433070866141736" right="0.35433070866141736" top="0.39370078740157483" bottom="0.39370078740157483" header="0.31496062992125984" footer="0.31496062992125984"/>
  <pageSetup paperSize="8" scale="93" orientation="landscape" r:id="rId1"/>
  <headerFooter alignWithMargins="0"/>
  <ignoredErrors>
    <ignoredError sqref="G16"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39997558519241921"/>
    <pageSetUpPr fitToPage="1"/>
  </sheetPr>
  <dimension ref="A1:S58"/>
  <sheetViews>
    <sheetView workbookViewId="0"/>
  </sheetViews>
  <sheetFormatPr defaultColWidth="9" defaultRowHeight="10.5" x14ac:dyDescent="0.15"/>
  <cols>
    <col min="1" max="1" width="3.125" style="1" customWidth="1"/>
    <col min="2" max="2" width="20.5" style="1" customWidth="1"/>
    <col min="3" max="3" width="9.875" style="1" bestFit="1" customWidth="1"/>
    <col min="4" max="4" width="10.125" style="1" bestFit="1" customWidth="1"/>
    <col min="5" max="5" width="9.75" style="1" bestFit="1" customWidth="1"/>
    <col min="6" max="6" width="39" style="1" customWidth="1"/>
    <col min="7" max="7" width="9.125" style="1" customWidth="1"/>
    <col min="8" max="8" width="9.75" style="1" bestFit="1" customWidth="1"/>
    <col min="9" max="9" width="9" style="1" bestFit="1" customWidth="1"/>
    <col min="10" max="10" width="7.25" style="1" customWidth="1"/>
    <col min="11" max="11" width="5.125" style="1" customWidth="1"/>
    <col min="12" max="12" width="8.75" style="1" customWidth="1"/>
    <col min="13" max="13" width="27" style="1" customWidth="1"/>
    <col min="14" max="14" width="9.125" style="1" customWidth="1"/>
    <col min="15" max="15" width="9.25" style="1" customWidth="1"/>
    <col min="16" max="16" width="9.125" style="1" bestFit="1" customWidth="1"/>
    <col min="17" max="17" width="9.75" style="1" bestFit="1" customWidth="1"/>
    <col min="18" max="19" width="9.125" style="1" bestFit="1" customWidth="1"/>
    <col min="20" max="16384" width="9" style="1"/>
  </cols>
  <sheetData>
    <row r="1" spans="1:19" ht="17.25" customHeight="1" x14ac:dyDescent="0.15">
      <c r="A1" s="387" t="s">
        <v>431</v>
      </c>
      <c r="B1" s="406"/>
      <c r="C1" s="406"/>
      <c r="D1" s="406"/>
      <c r="E1" s="406"/>
      <c r="F1" s="406"/>
      <c r="G1" s="406"/>
      <c r="H1" s="406"/>
      <c r="I1" s="406"/>
      <c r="J1" s="406"/>
      <c r="K1" s="406"/>
      <c r="L1" s="406"/>
      <c r="M1" s="953">
        <f ca="1">TODAY()</f>
        <v>45398</v>
      </c>
      <c r="N1" s="953"/>
      <c r="O1" s="953"/>
    </row>
    <row r="2" spans="1:19" ht="3.75" customHeight="1" x14ac:dyDescent="0.15"/>
    <row r="3" spans="1:19" ht="14.25" customHeight="1" x14ac:dyDescent="0.15">
      <c r="A3" s="480"/>
      <c r="B3" s="1164" t="s">
        <v>155</v>
      </c>
      <c r="C3" s="1165"/>
      <c r="D3" s="1165"/>
      <c r="E3" s="1165"/>
      <c r="F3" s="1165"/>
      <c r="G3" s="1165"/>
      <c r="H3" s="1166"/>
      <c r="I3" s="1165" t="s">
        <v>156</v>
      </c>
      <c r="J3" s="1165"/>
      <c r="K3" s="1165"/>
      <c r="L3" s="1165"/>
      <c r="M3" s="1165"/>
      <c r="N3" s="1165"/>
      <c r="O3" s="1167"/>
      <c r="P3" s="1132" t="s">
        <v>157</v>
      </c>
      <c r="Q3" s="1168"/>
      <c r="R3" s="1168" t="s">
        <v>62</v>
      </c>
      <c r="S3" s="1168"/>
    </row>
    <row r="4" spans="1:19" ht="15" customHeight="1" thickBot="1" x14ac:dyDescent="0.2">
      <c r="A4" s="481"/>
      <c r="B4" s="134" t="s">
        <v>65</v>
      </c>
      <c r="C4" s="134" t="s">
        <v>4</v>
      </c>
      <c r="D4" s="134" t="s">
        <v>5</v>
      </c>
      <c r="E4" s="134" t="s">
        <v>6</v>
      </c>
      <c r="F4" s="135" t="s">
        <v>158</v>
      </c>
      <c r="G4" s="134" t="s">
        <v>48</v>
      </c>
      <c r="H4" s="135" t="s">
        <v>51</v>
      </c>
      <c r="I4" s="136" t="s">
        <v>159</v>
      </c>
      <c r="J4" s="134" t="s">
        <v>39</v>
      </c>
      <c r="K4" s="559" t="s">
        <v>352</v>
      </c>
      <c r="L4" s="134" t="s">
        <v>40</v>
      </c>
      <c r="M4" s="135" t="s">
        <v>158</v>
      </c>
      <c r="N4" s="134" t="s">
        <v>48</v>
      </c>
      <c r="O4" s="134" t="s">
        <v>51</v>
      </c>
      <c r="P4" s="2" t="s">
        <v>48</v>
      </c>
      <c r="Q4" s="2" t="s">
        <v>51</v>
      </c>
      <c r="R4" s="2" t="s">
        <v>48</v>
      </c>
      <c r="S4" s="2" t="s">
        <v>51</v>
      </c>
    </row>
    <row r="5" spans="1:19" ht="15" customHeight="1" thickTop="1" x14ac:dyDescent="0.15">
      <c r="A5" s="904" t="s">
        <v>0</v>
      </c>
      <c r="B5" s="137" t="s">
        <v>3</v>
      </c>
      <c r="C5" s="138"/>
      <c r="D5" s="718"/>
      <c r="E5" s="719">
        <f>20+84</f>
        <v>104</v>
      </c>
      <c r="F5" s="140" t="s">
        <v>380</v>
      </c>
      <c r="G5" s="141" t="e">
        <f>E5*$P$6</f>
        <v>#REF!</v>
      </c>
      <c r="H5" s="142" t="e">
        <f>E5*$Q$6</f>
        <v>#REF!</v>
      </c>
      <c r="I5" s="143">
        <f t="shared" ref="I5:I10" si="0">E5</f>
        <v>104</v>
      </c>
      <c r="J5" s="144">
        <v>0.66666666666666663</v>
      </c>
      <c r="K5" s="145" t="e">
        <f>#REF!</f>
        <v>#REF!</v>
      </c>
      <c r="L5" s="139" t="e">
        <f t="shared" ref="L5:L10" si="1">I5*J5*K5</f>
        <v>#REF!</v>
      </c>
      <c r="M5" s="140"/>
      <c r="N5" s="141" t="e">
        <f>L5*$P$6</f>
        <v>#REF!</v>
      </c>
      <c r="O5" s="141" t="e">
        <f>L5*$Q$6</f>
        <v>#REF!</v>
      </c>
      <c r="P5" s="12" t="e">
        <f>SUM(G19,G30,G43)</f>
        <v>#REF!</v>
      </c>
      <c r="Q5" s="12" t="e">
        <f>SUM(H6:H9,H19,H30,H43)</f>
        <v>#REF!</v>
      </c>
      <c r="R5" s="12" t="e">
        <f>SUM(N19,N30,N43)</f>
        <v>#REF!</v>
      </c>
      <c r="S5" s="12" t="e">
        <f>SUM(O6:O8,O19,O30,O43)</f>
        <v>#REF!</v>
      </c>
    </row>
    <row r="6" spans="1:19" ht="15" customHeight="1" x14ac:dyDescent="0.15">
      <c r="A6" s="905"/>
      <c r="B6" s="146" t="s">
        <v>7</v>
      </c>
      <c r="C6" s="147"/>
      <c r="D6" s="720"/>
      <c r="E6" s="721" t="e">
        <f>#REF!/1000</f>
        <v>#REF!</v>
      </c>
      <c r="F6" s="148" t="s">
        <v>350</v>
      </c>
      <c r="G6" s="149"/>
      <c r="H6" s="150" t="e">
        <f>E6</f>
        <v>#REF!</v>
      </c>
      <c r="I6" s="151" t="e">
        <f t="shared" si="0"/>
        <v>#REF!</v>
      </c>
      <c r="J6" s="152">
        <f>$J$5</f>
        <v>0.66666666666666663</v>
      </c>
      <c r="K6" s="153" t="e">
        <f>#REF!</f>
        <v>#REF!</v>
      </c>
      <c r="L6" s="147" t="e">
        <f t="shared" si="1"/>
        <v>#REF!</v>
      </c>
      <c r="M6" s="148"/>
      <c r="N6" s="149"/>
      <c r="O6" s="149" t="e">
        <f>L6</f>
        <v>#REF!</v>
      </c>
      <c r="P6" s="154" t="e">
        <f>P5/(P5+Q5)</f>
        <v>#REF!</v>
      </c>
      <c r="Q6" s="154" t="e">
        <f>1-P6</f>
        <v>#REF!</v>
      </c>
      <c r="R6" s="154" t="e">
        <f>R5/(R5+S5)</f>
        <v>#REF!</v>
      </c>
      <c r="S6" s="154" t="e">
        <f>1-R6</f>
        <v>#REF!</v>
      </c>
    </row>
    <row r="7" spans="1:19" ht="15" customHeight="1" x14ac:dyDescent="0.15">
      <c r="A7" s="905"/>
      <c r="B7" s="146" t="s">
        <v>8</v>
      </c>
      <c r="C7" s="155">
        <v>4</v>
      </c>
      <c r="D7" s="722">
        <v>1500</v>
      </c>
      <c r="E7" s="721">
        <f>C7*D7/1000</f>
        <v>6</v>
      </c>
      <c r="F7" s="148" t="s">
        <v>113</v>
      </c>
      <c r="G7" s="149"/>
      <c r="H7" s="150">
        <f>E7</f>
        <v>6</v>
      </c>
      <c r="I7" s="151">
        <f t="shared" si="0"/>
        <v>6</v>
      </c>
      <c r="J7" s="152">
        <f>$J$5</f>
        <v>0.66666666666666663</v>
      </c>
      <c r="K7" s="153" t="e">
        <f>#REF!</f>
        <v>#REF!</v>
      </c>
      <c r="L7" s="147" t="e">
        <f t="shared" si="1"/>
        <v>#REF!</v>
      </c>
      <c r="M7" s="148"/>
      <c r="N7" s="149"/>
      <c r="O7" s="149" t="e">
        <f>L7</f>
        <v>#REF!</v>
      </c>
    </row>
    <row r="8" spans="1:19" ht="15" customHeight="1" x14ac:dyDescent="0.15">
      <c r="A8" s="905"/>
      <c r="B8" s="146" t="s">
        <v>9</v>
      </c>
      <c r="C8" s="147"/>
      <c r="D8" s="720"/>
      <c r="E8" s="721" t="e">
        <f>#REF!/1000</f>
        <v>#REF!</v>
      </c>
      <c r="F8" s="148" t="s">
        <v>350</v>
      </c>
      <c r="G8" s="149"/>
      <c r="H8" s="150" t="e">
        <f>E8</f>
        <v>#REF!</v>
      </c>
      <c r="I8" s="151" t="e">
        <f t="shared" si="0"/>
        <v>#REF!</v>
      </c>
      <c r="J8" s="152">
        <f>$J$5</f>
        <v>0.66666666666666663</v>
      </c>
      <c r="K8" s="153" t="e">
        <f>#REF!</f>
        <v>#REF!</v>
      </c>
      <c r="L8" s="147" t="e">
        <f t="shared" si="1"/>
        <v>#REF!</v>
      </c>
      <c r="M8" s="148"/>
      <c r="N8" s="149"/>
      <c r="O8" s="149" t="e">
        <f>L8</f>
        <v>#REF!</v>
      </c>
    </row>
    <row r="9" spans="1:19" ht="15" customHeight="1" x14ac:dyDescent="0.15">
      <c r="A9" s="905"/>
      <c r="B9" s="146" t="s">
        <v>330</v>
      </c>
      <c r="C9" s="147"/>
      <c r="D9" s="720"/>
      <c r="E9" s="721" t="e">
        <f>'監理料(告示98号）'!T85/1000</f>
        <v>#REF!</v>
      </c>
      <c r="F9" s="148" t="s">
        <v>350</v>
      </c>
      <c r="G9" s="149"/>
      <c r="H9" s="150" t="e">
        <f>E9</f>
        <v>#REF!</v>
      </c>
      <c r="I9" s="151" t="e">
        <f t="shared" si="0"/>
        <v>#REF!</v>
      </c>
      <c r="J9" s="152">
        <f>$J$5</f>
        <v>0.66666666666666663</v>
      </c>
      <c r="K9" s="153" t="e">
        <f>#REF!</f>
        <v>#REF!</v>
      </c>
      <c r="L9" s="147" t="e">
        <f t="shared" si="1"/>
        <v>#REF!</v>
      </c>
      <c r="M9" s="148"/>
      <c r="N9" s="149"/>
      <c r="O9" s="149" t="e">
        <f>L9</f>
        <v>#REF!</v>
      </c>
    </row>
    <row r="10" spans="1:19" ht="15" customHeight="1" x14ac:dyDescent="0.15">
      <c r="A10" s="905"/>
      <c r="B10" s="146" t="s">
        <v>10</v>
      </c>
      <c r="C10" s="156" t="e">
        <f>#REF!</f>
        <v>#REF!</v>
      </c>
      <c r="D10" s="157">
        <v>25</v>
      </c>
      <c r="E10" s="721" t="e">
        <f>C10*D10/1000</f>
        <v>#REF!</v>
      </c>
      <c r="F10" s="148" t="s">
        <v>115</v>
      </c>
      <c r="G10" s="149" t="e">
        <f>E10*$P$6</f>
        <v>#REF!</v>
      </c>
      <c r="H10" s="150" t="e">
        <f>E10*$Q$6</f>
        <v>#REF!</v>
      </c>
      <c r="I10" s="151" t="e">
        <f t="shared" si="0"/>
        <v>#REF!</v>
      </c>
      <c r="J10" s="152">
        <f>$J$5</f>
        <v>0.66666666666666663</v>
      </c>
      <c r="K10" s="153" t="e">
        <f>#REF!</f>
        <v>#REF!</v>
      </c>
      <c r="L10" s="147" t="e">
        <f t="shared" si="1"/>
        <v>#REF!</v>
      </c>
      <c r="M10" s="148"/>
      <c r="N10" s="149" t="e">
        <f>L10*$P$6</f>
        <v>#REF!</v>
      </c>
      <c r="O10" s="149" t="e">
        <f>L10*$Q$6</f>
        <v>#REF!</v>
      </c>
    </row>
    <row r="11" spans="1:19" ht="15" customHeight="1" x14ac:dyDescent="0.15">
      <c r="A11" s="905"/>
      <c r="B11" s="146" t="s">
        <v>11</v>
      </c>
      <c r="C11" s="156" t="e">
        <f>#REF!</f>
        <v>#REF!</v>
      </c>
      <c r="D11" s="157">
        <v>5</v>
      </c>
      <c r="E11" s="147" t="e">
        <f>C11*D11/1000</f>
        <v>#REF!</v>
      </c>
      <c r="F11" s="148" t="s">
        <v>115</v>
      </c>
      <c r="G11" s="149" t="e">
        <f>E11*$P$6</f>
        <v>#REF!</v>
      </c>
      <c r="H11" s="150" t="e">
        <f>E11*$Q$6</f>
        <v>#REF!</v>
      </c>
      <c r="I11" s="151">
        <v>0</v>
      </c>
      <c r="J11" s="152"/>
      <c r="K11" s="153"/>
      <c r="L11" s="147"/>
      <c r="M11" s="148"/>
      <c r="N11" s="149"/>
      <c r="O11" s="149"/>
    </row>
    <row r="12" spans="1:19" ht="15" customHeight="1" x14ac:dyDescent="0.15">
      <c r="A12" s="905"/>
      <c r="B12" s="158" t="s">
        <v>127</v>
      </c>
      <c r="C12" s="159" t="e">
        <f>SUM(E5:E11)</f>
        <v>#REF!</v>
      </c>
      <c r="D12" s="160">
        <v>0.1</v>
      </c>
      <c r="E12" s="159" t="e">
        <f>C12*D12</f>
        <v>#REF!</v>
      </c>
      <c r="F12" s="161"/>
      <c r="G12" s="162" t="e">
        <f>SUM(G5:G11)*$D$12</f>
        <v>#REF!</v>
      </c>
      <c r="H12" s="163" t="e">
        <f>SUM(H5:H11)*$D$12</f>
        <v>#REF!</v>
      </c>
      <c r="I12" s="151">
        <v>0</v>
      </c>
      <c r="J12" s="165"/>
      <c r="K12" s="166"/>
      <c r="L12" s="159"/>
      <c r="M12" s="161"/>
      <c r="N12" s="162"/>
      <c r="O12" s="162"/>
    </row>
    <row r="13" spans="1:19" ht="15" customHeight="1" x14ac:dyDescent="0.15">
      <c r="A13" s="906"/>
      <c r="B13" s="9" t="s">
        <v>12</v>
      </c>
      <c r="C13" s="10"/>
      <c r="D13" s="9"/>
      <c r="E13" s="11" t="e">
        <f>SUM(E5:E12)</f>
        <v>#REF!</v>
      </c>
      <c r="F13" s="167"/>
      <c r="G13" s="168" t="e">
        <f>SUM(G5:G12)</f>
        <v>#REF!</v>
      </c>
      <c r="H13" s="169" t="e">
        <f>SUM(H5:H12)</f>
        <v>#REF!</v>
      </c>
      <c r="I13" s="170" t="e">
        <f>SUM(I5:I12)</f>
        <v>#REF!</v>
      </c>
      <c r="J13" s="171"/>
      <c r="K13" s="172"/>
      <c r="L13" s="11" t="e">
        <f>SUM(L5:L12)</f>
        <v>#REF!</v>
      </c>
      <c r="M13" s="167"/>
      <c r="N13" s="168" t="e">
        <f>SUM(N5:N12)</f>
        <v>#REF!</v>
      </c>
      <c r="O13" s="168" t="e">
        <f>SUM(O5:O12)</f>
        <v>#REF!</v>
      </c>
    </row>
    <row r="14" spans="1:19" ht="15" customHeight="1" x14ac:dyDescent="0.15">
      <c r="A14" s="904" t="s">
        <v>1</v>
      </c>
      <c r="B14" s="173" t="s">
        <v>160</v>
      </c>
      <c r="C14" s="174" t="e">
        <f>#REF!</f>
        <v>#REF!</v>
      </c>
      <c r="D14" s="175">
        <v>15</v>
      </c>
      <c r="E14" s="4" t="e">
        <f>C14*D14/1000</f>
        <v>#REF!</v>
      </c>
      <c r="F14" s="177" t="s">
        <v>177</v>
      </c>
      <c r="G14" s="193" t="e">
        <f>E14</f>
        <v>#REF!</v>
      </c>
      <c r="H14" s="179"/>
      <c r="I14" s="180" t="e">
        <f>E14</f>
        <v>#REF!</v>
      </c>
      <c r="J14" s="470" t="e">
        <f>#REF!</f>
        <v>#REF!</v>
      </c>
      <c r="K14" s="181" t="e">
        <f>#REF!</f>
        <v>#REF!</v>
      </c>
      <c r="L14" s="176" t="e">
        <f>I14*J14*K14</f>
        <v>#REF!</v>
      </c>
      <c r="M14" s="177"/>
      <c r="N14" s="178" t="e">
        <f>L14</f>
        <v>#REF!</v>
      </c>
      <c r="O14" s="178"/>
    </row>
    <row r="15" spans="1:19" ht="15" customHeight="1" x14ac:dyDescent="0.15">
      <c r="A15" s="905"/>
      <c r="B15" s="146" t="s">
        <v>165</v>
      </c>
      <c r="C15" s="156" t="e">
        <f>#REF!</f>
        <v>#REF!</v>
      </c>
      <c r="D15" s="182">
        <v>15</v>
      </c>
      <c r="E15" s="147" t="e">
        <f>C15*D15/1000</f>
        <v>#REF!</v>
      </c>
      <c r="F15" s="148" t="s">
        <v>178</v>
      </c>
      <c r="G15" s="219" t="e">
        <f>E15</f>
        <v>#REF!</v>
      </c>
      <c r="H15" s="150"/>
      <c r="I15" s="151" t="e">
        <f>E15</f>
        <v>#REF!</v>
      </c>
      <c r="J15" s="471" t="e">
        <f>#REF!</f>
        <v>#REF!</v>
      </c>
      <c r="K15" s="153" t="e">
        <f>#REF!</f>
        <v>#REF!</v>
      </c>
      <c r="L15" s="147" t="e">
        <f>I15*J15*K15</f>
        <v>#REF!</v>
      </c>
      <c r="M15" s="148"/>
      <c r="N15" s="149" t="e">
        <f>L15</f>
        <v>#REF!</v>
      </c>
      <c r="O15" s="149"/>
    </row>
    <row r="16" spans="1:19" ht="15" customHeight="1" x14ac:dyDescent="0.15">
      <c r="A16" s="905"/>
      <c r="B16" s="146" t="s">
        <v>166</v>
      </c>
      <c r="C16" s="156" t="e">
        <f>#REF!</f>
        <v>#REF!</v>
      </c>
      <c r="D16" s="182">
        <v>45</v>
      </c>
      <c r="E16" s="147" t="e">
        <f>C16*D16/1000</f>
        <v>#REF!</v>
      </c>
      <c r="F16" s="148" t="s">
        <v>179</v>
      </c>
      <c r="G16" s="149" t="e">
        <f>E16</f>
        <v>#REF!</v>
      </c>
      <c r="H16" s="150"/>
      <c r="I16" s="143" t="e">
        <f>E16</f>
        <v>#REF!</v>
      </c>
      <c r="J16" s="471" t="e">
        <f>#REF!</f>
        <v>#REF!</v>
      </c>
      <c r="K16" s="145" t="e">
        <f>#REF!</f>
        <v>#REF!</v>
      </c>
      <c r="L16" s="139" t="e">
        <f>I16*J16*K16</f>
        <v>#REF!</v>
      </c>
      <c r="M16" s="148"/>
      <c r="N16" s="141" t="e">
        <f>L16</f>
        <v>#REF!</v>
      </c>
      <c r="O16" s="141"/>
    </row>
    <row r="17" spans="1:15" ht="15" customHeight="1" x14ac:dyDescent="0.15">
      <c r="A17" s="905"/>
      <c r="B17" s="146" t="s">
        <v>13</v>
      </c>
      <c r="C17" s="156" t="e">
        <f>#REF!</f>
        <v>#REF!</v>
      </c>
      <c r="D17" s="182">
        <v>1</v>
      </c>
      <c r="E17" s="147" t="e">
        <f>C17*D17/1000</f>
        <v>#REF!</v>
      </c>
      <c r="F17" s="148" t="s">
        <v>16</v>
      </c>
      <c r="G17" s="149" t="e">
        <f>E17</f>
        <v>#REF!</v>
      </c>
      <c r="H17" s="150"/>
      <c r="I17" s="151" t="e">
        <f>E17</f>
        <v>#REF!</v>
      </c>
      <c r="J17" s="471" t="e">
        <f>#REF!</f>
        <v>#REF!</v>
      </c>
      <c r="K17" s="153" t="e">
        <f>#REF!</f>
        <v>#REF!</v>
      </c>
      <c r="L17" s="147" t="e">
        <f>I17*J17*K17</f>
        <v>#REF!</v>
      </c>
      <c r="M17" s="148"/>
      <c r="N17" s="149" t="e">
        <f>L17</f>
        <v>#REF!</v>
      </c>
      <c r="O17" s="149"/>
    </row>
    <row r="18" spans="1:15" ht="15" customHeight="1" x14ac:dyDescent="0.15">
      <c r="A18" s="905"/>
      <c r="B18" s="158" t="s">
        <v>287</v>
      </c>
      <c r="C18" s="159" t="e">
        <f>SUM(E14:E17)</f>
        <v>#REF!</v>
      </c>
      <c r="D18" s="160">
        <v>0.1</v>
      </c>
      <c r="E18" s="159" t="e">
        <f>C18*D18</f>
        <v>#REF!</v>
      </c>
      <c r="F18" s="161"/>
      <c r="G18" s="162" t="e">
        <f>E18</f>
        <v>#REF!</v>
      </c>
      <c r="H18" s="163"/>
      <c r="I18" s="164">
        <v>0</v>
      </c>
      <c r="J18" s="472"/>
      <c r="K18" s="166"/>
      <c r="L18" s="159"/>
      <c r="M18" s="161"/>
      <c r="N18" s="162"/>
      <c r="O18" s="162"/>
    </row>
    <row r="19" spans="1:15" ht="15" customHeight="1" x14ac:dyDescent="0.15">
      <c r="A19" s="906"/>
      <c r="B19" s="9" t="s">
        <v>14</v>
      </c>
      <c r="C19" s="10"/>
      <c r="D19" s="9"/>
      <c r="E19" s="11" t="e">
        <f>SUM(E14:E18)</f>
        <v>#REF!</v>
      </c>
      <c r="F19" s="167"/>
      <c r="G19" s="168" t="e">
        <f>SUM(G14:G18)</f>
        <v>#REF!</v>
      </c>
      <c r="H19" s="169">
        <f>SUM(H14:H18)</f>
        <v>0</v>
      </c>
      <c r="I19" s="170" t="e">
        <f>SUM(I14:I18)</f>
        <v>#REF!</v>
      </c>
      <c r="J19" s="473"/>
      <c r="K19" s="172"/>
      <c r="L19" s="11" t="e">
        <f>SUM(L14:L18)</f>
        <v>#REF!</v>
      </c>
      <c r="M19" s="167"/>
      <c r="N19" s="168" t="e">
        <f>SUM(N14:N18)</f>
        <v>#REF!</v>
      </c>
      <c r="O19" s="168">
        <f>SUM(O14:O18)</f>
        <v>0</v>
      </c>
    </row>
    <row r="20" spans="1:15" ht="15" customHeight="1" x14ac:dyDescent="0.15">
      <c r="A20" s="904" t="s">
        <v>2</v>
      </c>
      <c r="B20" s="173" t="s">
        <v>17</v>
      </c>
      <c r="C20" s="176"/>
      <c r="D20" s="183"/>
      <c r="E20" s="176" t="e">
        <f>#REF!</f>
        <v>#REF!</v>
      </c>
      <c r="F20" s="173" t="s">
        <v>288</v>
      </c>
      <c r="G20" s="178" t="e">
        <f>E20</f>
        <v>#REF!</v>
      </c>
      <c r="H20" s="179"/>
      <c r="I20" s="180">
        <v>0</v>
      </c>
      <c r="J20" s="471"/>
      <c r="K20" s="153"/>
      <c r="L20" s="147"/>
      <c r="M20" s="177" t="s">
        <v>176</v>
      </c>
      <c r="N20" s="149">
        <f>L20</f>
        <v>0</v>
      </c>
      <c r="O20" s="178"/>
    </row>
    <row r="21" spans="1:15" ht="15" customHeight="1" x14ac:dyDescent="0.15">
      <c r="A21" s="905"/>
      <c r="B21" s="146" t="s">
        <v>18</v>
      </c>
      <c r="C21" s="147" t="e">
        <f>E20</f>
        <v>#REF!</v>
      </c>
      <c r="D21" s="476" t="s">
        <v>114</v>
      </c>
      <c r="E21" s="147" t="e">
        <f>C21*6/12*0.06</f>
        <v>#REF!</v>
      </c>
      <c r="F21" s="137" t="s">
        <v>167</v>
      </c>
      <c r="G21" s="149" t="e">
        <f>E21</f>
        <v>#REF!</v>
      </c>
      <c r="H21" s="150"/>
      <c r="I21" s="151">
        <v>0</v>
      </c>
      <c r="J21" s="471"/>
      <c r="K21" s="153"/>
      <c r="L21" s="147"/>
      <c r="M21" s="148" t="s">
        <v>176</v>
      </c>
      <c r="N21" s="149">
        <f>L21</f>
        <v>0</v>
      </c>
      <c r="O21" s="149"/>
    </row>
    <row r="22" spans="1:15" ht="15" customHeight="1" x14ac:dyDescent="0.15">
      <c r="A22" s="905"/>
      <c r="B22" s="137" t="s">
        <v>175</v>
      </c>
      <c r="C22" s="147" t="e">
        <f>#REF!</f>
        <v>#REF!</v>
      </c>
      <c r="D22" s="247" t="s">
        <v>140</v>
      </c>
      <c r="E22" s="147">
        <v>0</v>
      </c>
      <c r="F22" s="477" t="s">
        <v>351</v>
      </c>
      <c r="G22" s="149">
        <f>E22</f>
        <v>0</v>
      </c>
      <c r="H22" s="150"/>
      <c r="I22" s="151" t="e">
        <f>C22</f>
        <v>#REF!</v>
      </c>
      <c r="J22" s="471" t="e">
        <f>#REF!</f>
        <v>#REF!</v>
      </c>
      <c r="K22" s="153" t="e">
        <f>#REF!</f>
        <v>#REF!</v>
      </c>
      <c r="L22" s="147" t="e">
        <f>I22*J22*K22</f>
        <v>#REF!</v>
      </c>
      <c r="M22" s="148"/>
      <c r="N22" s="725" t="e">
        <f>L22-O22</f>
        <v>#REF!</v>
      </c>
      <c r="O22" s="725">
        <v>337</v>
      </c>
    </row>
    <row r="23" spans="1:15" ht="15" customHeight="1" x14ac:dyDescent="0.15">
      <c r="A23" s="905"/>
      <c r="B23" s="137" t="s">
        <v>174</v>
      </c>
      <c r="C23" s="248" t="e">
        <f>#REF!</f>
        <v>#REF!</v>
      </c>
      <c r="D23" s="245" t="s">
        <v>140</v>
      </c>
      <c r="E23" s="147" t="e">
        <f>#REF!</f>
        <v>#REF!</v>
      </c>
      <c r="F23" s="137" t="s">
        <v>432</v>
      </c>
      <c r="G23" s="149" t="e">
        <f t="shared" ref="G23:G28" si="2">E23</f>
        <v>#REF!</v>
      </c>
      <c r="H23" s="150"/>
      <c r="I23" s="151" t="e">
        <f t="shared" ref="I23:I28" si="3">E23</f>
        <v>#REF!</v>
      </c>
      <c r="J23" s="471" t="e">
        <f>#REF!</f>
        <v>#REF!</v>
      </c>
      <c r="K23" s="153" t="e">
        <f>#REF!</f>
        <v>#REF!</v>
      </c>
      <c r="L23" s="147" t="e">
        <f t="shared" ref="L23:L28" si="4">I23*J23*K23</f>
        <v>#REF!</v>
      </c>
      <c r="M23" s="148"/>
      <c r="N23" s="149" t="e">
        <f t="shared" ref="N23:N28" si="5">L23</f>
        <v>#REF!</v>
      </c>
      <c r="O23" s="149"/>
    </row>
    <row r="24" spans="1:15" ht="15" customHeight="1" x14ac:dyDescent="0.15">
      <c r="A24" s="905"/>
      <c r="B24" s="137" t="s">
        <v>36</v>
      </c>
      <c r="C24" s="156" t="e">
        <f>#REF!</f>
        <v>#REF!</v>
      </c>
      <c r="D24" s="7">
        <v>30</v>
      </c>
      <c r="E24" s="147" t="e">
        <f>C24*D24/1000</f>
        <v>#REF!</v>
      </c>
      <c r="F24" s="5" t="s">
        <v>15</v>
      </c>
      <c r="G24" s="149" t="e">
        <f t="shared" si="2"/>
        <v>#REF!</v>
      </c>
      <c r="H24" s="150"/>
      <c r="I24" s="151" t="e">
        <f t="shared" si="3"/>
        <v>#REF!</v>
      </c>
      <c r="J24" s="471" t="e">
        <f>#REF!</f>
        <v>#REF!</v>
      </c>
      <c r="K24" s="153" t="e">
        <f>#REF!</f>
        <v>#REF!</v>
      </c>
      <c r="L24" s="147" t="e">
        <f t="shared" si="4"/>
        <v>#REF!</v>
      </c>
      <c r="M24" s="148"/>
      <c r="N24" s="149" t="e">
        <f t="shared" si="5"/>
        <v>#REF!</v>
      </c>
      <c r="O24" s="149"/>
    </row>
    <row r="25" spans="1:15" ht="15" customHeight="1" x14ac:dyDescent="0.15">
      <c r="A25" s="905"/>
      <c r="B25" s="137" t="s">
        <v>33</v>
      </c>
      <c r="C25" s="156" t="e">
        <f>#REF!*(1-転出率)</f>
        <v>#REF!</v>
      </c>
      <c r="D25" s="222">
        <v>10</v>
      </c>
      <c r="E25" s="147" t="e">
        <f>C25*D25/1000</f>
        <v>#REF!</v>
      </c>
      <c r="F25" s="146" t="s">
        <v>170</v>
      </c>
      <c r="G25" s="149" t="e">
        <f t="shared" si="2"/>
        <v>#REF!</v>
      </c>
      <c r="H25" s="150"/>
      <c r="I25" s="151" t="e">
        <f t="shared" si="3"/>
        <v>#REF!</v>
      </c>
      <c r="J25" s="471" t="e">
        <f>#REF!</f>
        <v>#REF!</v>
      </c>
      <c r="K25" s="153" t="e">
        <f>#REF!</f>
        <v>#REF!</v>
      </c>
      <c r="L25" s="147" t="e">
        <f t="shared" si="4"/>
        <v>#REF!</v>
      </c>
      <c r="M25" s="148"/>
      <c r="N25" s="149" t="e">
        <f t="shared" si="5"/>
        <v>#REF!</v>
      </c>
      <c r="O25" s="149"/>
    </row>
    <row r="26" spans="1:15" ht="15" customHeight="1" x14ac:dyDescent="0.15">
      <c r="A26" s="905"/>
      <c r="B26" s="5" t="s">
        <v>35</v>
      </c>
      <c r="C26" s="156" t="e">
        <f>C24-C25</f>
        <v>#REF!</v>
      </c>
      <c r="D26" s="222">
        <v>5</v>
      </c>
      <c r="E26" s="147" t="e">
        <f>C26*D26/1000</f>
        <v>#REF!</v>
      </c>
      <c r="F26" s="146" t="s">
        <v>171</v>
      </c>
      <c r="G26" s="149" t="e">
        <f t="shared" si="2"/>
        <v>#REF!</v>
      </c>
      <c r="H26" s="150"/>
      <c r="I26" s="151" t="e">
        <f t="shared" si="3"/>
        <v>#REF!</v>
      </c>
      <c r="J26" s="471" t="e">
        <f>#REF!</f>
        <v>#REF!</v>
      </c>
      <c r="K26" s="153" t="e">
        <f>#REF!</f>
        <v>#REF!</v>
      </c>
      <c r="L26" s="147" t="e">
        <f t="shared" si="4"/>
        <v>#REF!</v>
      </c>
      <c r="M26" s="148"/>
      <c r="N26" s="149" t="e">
        <f t="shared" si="5"/>
        <v>#REF!</v>
      </c>
      <c r="O26" s="149"/>
    </row>
    <row r="27" spans="1:15" ht="15" customHeight="1" x14ac:dyDescent="0.15">
      <c r="A27" s="905"/>
      <c r="B27" s="146" t="s">
        <v>34</v>
      </c>
      <c r="C27" s="156" t="e">
        <f>#REF!</f>
        <v>#REF!</v>
      </c>
      <c r="D27" s="246">
        <v>2</v>
      </c>
      <c r="E27" s="6" t="e">
        <f>C27*D27*36/1000</f>
        <v>#REF!</v>
      </c>
      <c r="F27" s="15" t="s">
        <v>438</v>
      </c>
      <c r="G27" s="149" t="e">
        <f t="shared" si="2"/>
        <v>#REF!</v>
      </c>
      <c r="H27" s="150"/>
      <c r="I27" s="151" t="e">
        <f t="shared" si="3"/>
        <v>#REF!</v>
      </c>
      <c r="J27" s="471" t="e">
        <f>#REF!</f>
        <v>#REF!</v>
      </c>
      <c r="K27" s="153" t="e">
        <f>#REF!</f>
        <v>#REF!</v>
      </c>
      <c r="L27" s="147" t="e">
        <f t="shared" si="4"/>
        <v>#REF!</v>
      </c>
      <c r="M27" s="148"/>
      <c r="N27" s="149" t="e">
        <f t="shared" si="5"/>
        <v>#REF!</v>
      </c>
      <c r="O27" s="149"/>
    </row>
    <row r="28" spans="1:15" ht="15" customHeight="1" x14ac:dyDescent="0.15">
      <c r="A28" s="905"/>
      <c r="B28" s="137" t="s">
        <v>289</v>
      </c>
      <c r="C28" s="762" t="e">
        <f>#REF!</f>
        <v>#REF!</v>
      </c>
      <c r="D28" s="475">
        <v>2</v>
      </c>
      <c r="E28" s="147" t="e">
        <f>C28*D28*36/1000</f>
        <v>#REF!</v>
      </c>
      <c r="F28" s="223" t="s">
        <v>439</v>
      </c>
      <c r="G28" s="149" t="e">
        <f t="shared" si="2"/>
        <v>#REF!</v>
      </c>
      <c r="H28" s="150"/>
      <c r="I28" s="151" t="e">
        <f t="shared" si="3"/>
        <v>#REF!</v>
      </c>
      <c r="J28" s="471" t="e">
        <f>#REF!</f>
        <v>#REF!</v>
      </c>
      <c r="K28" s="153" t="e">
        <f>#REF!</f>
        <v>#REF!</v>
      </c>
      <c r="L28" s="147" t="e">
        <f t="shared" si="4"/>
        <v>#REF!</v>
      </c>
      <c r="M28" s="148"/>
      <c r="N28" s="149" t="e">
        <f t="shared" si="5"/>
        <v>#REF!</v>
      </c>
      <c r="O28" s="149"/>
    </row>
    <row r="29" spans="1:15" ht="15" customHeight="1" x14ac:dyDescent="0.15">
      <c r="A29" s="905"/>
      <c r="B29" s="158" t="s">
        <v>118</v>
      </c>
      <c r="C29" s="159" t="e">
        <f>SUM(E20:E28)</f>
        <v>#REF!</v>
      </c>
      <c r="D29" s="723">
        <v>0</v>
      </c>
      <c r="E29" s="159" t="e">
        <f>C29*D29</f>
        <v>#REF!</v>
      </c>
      <c r="F29" s="161"/>
      <c r="G29" s="162" t="e">
        <f>E29</f>
        <v>#REF!</v>
      </c>
      <c r="H29" s="163"/>
      <c r="I29" s="151">
        <v>0</v>
      </c>
      <c r="J29" s="472"/>
      <c r="K29" s="166"/>
      <c r="L29" s="159"/>
      <c r="M29" s="161"/>
      <c r="N29" s="162"/>
      <c r="O29" s="162"/>
    </row>
    <row r="30" spans="1:15" ht="15" customHeight="1" x14ac:dyDescent="0.15">
      <c r="A30" s="906"/>
      <c r="B30" s="9" t="s">
        <v>335</v>
      </c>
      <c r="C30" s="10"/>
      <c r="D30" s="9"/>
      <c r="E30" s="11" t="e">
        <f>SUM(E20:E29)</f>
        <v>#REF!</v>
      </c>
      <c r="F30" s="167"/>
      <c r="G30" s="168" t="e">
        <f>SUM(G20:G29)</f>
        <v>#REF!</v>
      </c>
      <c r="H30" s="169">
        <f>SUM(H20:H29)</f>
        <v>0</v>
      </c>
      <c r="I30" s="170" t="e">
        <f>SUM(I20:I29)</f>
        <v>#REF!</v>
      </c>
      <c r="J30" s="473"/>
      <c r="K30" s="172"/>
      <c r="L30" s="11" t="e">
        <f>SUM(L20:L29)</f>
        <v>#REF!</v>
      </c>
      <c r="M30" s="167"/>
      <c r="N30" s="168" t="e">
        <f>SUM(N20:N29)</f>
        <v>#REF!</v>
      </c>
      <c r="O30" s="168">
        <f>SUM(O20:O29)</f>
        <v>337</v>
      </c>
    </row>
    <row r="31" spans="1:15" ht="15" customHeight="1" x14ac:dyDescent="0.15">
      <c r="A31" s="904" t="s">
        <v>19</v>
      </c>
      <c r="B31" s="173" t="e">
        <f>#REF!</f>
        <v>#REF!</v>
      </c>
      <c r="C31" s="184" t="e">
        <f>#REF!</f>
        <v>#REF!</v>
      </c>
      <c r="D31" s="185" t="e">
        <f>#REF!</f>
        <v>#REF!</v>
      </c>
      <c r="E31" s="176" t="e">
        <f t="shared" ref="E31:E41" si="6">C31*D31/1000</f>
        <v>#REF!</v>
      </c>
      <c r="F31" s="177" t="s">
        <v>20</v>
      </c>
      <c r="G31" s="178"/>
      <c r="H31" s="179" t="e">
        <f t="shared" ref="H31:H42" si="7">E31</f>
        <v>#REF!</v>
      </c>
      <c r="I31" s="869" t="e">
        <f>SUM(H31:H33)*0.26</f>
        <v>#REF!</v>
      </c>
      <c r="J31" s="1150" t="e">
        <f>#REF!</f>
        <v>#REF!</v>
      </c>
      <c r="K31" s="1153" t="e">
        <f>#REF!</f>
        <v>#REF!</v>
      </c>
      <c r="L31" s="907" t="e">
        <f>I31*J31*K31</f>
        <v>#REF!</v>
      </c>
      <c r="M31" s="863" t="s">
        <v>374</v>
      </c>
      <c r="N31" s="861"/>
      <c r="O31" s="857" t="e">
        <f>L31</f>
        <v>#REF!</v>
      </c>
    </row>
    <row r="32" spans="1:15" ht="15" customHeight="1" x14ac:dyDescent="0.15">
      <c r="A32" s="905"/>
      <c r="B32" s="146" t="e">
        <f>#REF!</f>
        <v>#REF!</v>
      </c>
      <c r="C32" s="186" t="e">
        <f>#REF!</f>
        <v>#REF!</v>
      </c>
      <c r="D32" s="187" t="e">
        <f>#REF!</f>
        <v>#REF!</v>
      </c>
      <c r="E32" s="147" t="e">
        <f t="shared" si="6"/>
        <v>#REF!</v>
      </c>
      <c r="F32" s="148" t="s">
        <v>20</v>
      </c>
      <c r="G32" s="149"/>
      <c r="H32" s="150" t="e">
        <f t="shared" si="7"/>
        <v>#REF!</v>
      </c>
      <c r="I32" s="1161"/>
      <c r="J32" s="1151"/>
      <c r="K32" s="1154"/>
      <c r="L32" s="1156"/>
      <c r="M32" s="864"/>
      <c r="N32" s="1159"/>
      <c r="O32" s="858"/>
    </row>
    <row r="33" spans="1:16" ht="15" customHeight="1" x14ac:dyDescent="0.15">
      <c r="A33" s="905"/>
      <c r="B33" s="158" t="e">
        <f>#REF!</f>
        <v>#REF!</v>
      </c>
      <c r="C33" s="687" t="e">
        <f>#REF!</f>
        <v>#REF!</v>
      </c>
      <c r="D33" s="688" t="e">
        <f>#REF!</f>
        <v>#REF!</v>
      </c>
      <c r="E33" s="159" t="e">
        <f t="shared" si="6"/>
        <v>#REF!</v>
      </c>
      <c r="F33" s="161" t="s">
        <v>20</v>
      </c>
      <c r="G33" s="162"/>
      <c r="H33" s="163" t="e">
        <f t="shared" si="7"/>
        <v>#REF!</v>
      </c>
      <c r="I33" s="870"/>
      <c r="J33" s="1152"/>
      <c r="K33" s="1155"/>
      <c r="L33" s="908"/>
      <c r="M33" s="1158"/>
      <c r="N33" s="1160"/>
      <c r="O33" s="873"/>
      <c r="P33" s="244"/>
    </row>
    <row r="34" spans="1:16" ht="15" customHeight="1" x14ac:dyDescent="0.15">
      <c r="A34" s="905"/>
      <c r="B34" s="173" t="e">
        <f>#REF!</f>
        <v>#REF!</v>
      </c>
      <c r="C34" s="184" t="e">
        <f>#REF!</f>
        <v>#REF!</v>
      </c>
      <c r="D34" s="185" t="e">
        <f>#REF!</f>
        <v>#REF!</v>
      </c>
      <c r="E34" s="176" t="e">
        <f>C34*D34/1000</f>
        <v>#REF!</v>
      </c>
      <c r="F34" s="177" t="s">
        <v>371</v>
      </c>
      <c r="G34" s="178"/>
      <c r="H34" s="179" t="e">
        <f t="shared" si="7"/>
        <v>#REF!</v>
      </c>
      <c r="I34" s="869" t="e">
        <f>SUM(H34:H36)*0</f>
        <v>#REF!</v>
      </c>
      <c r="J34" s="1150" t="e">
        <f>#REF!</f>
        <v>#REF!</v>
      </c>
      <c r="K34" s="1153" t="e">
        <f>#REF!</f>
        <v>#REF!</v>
      </c>
      <c r="L34" s="907" t="e">
        <f>I34*J34*K34</f>
        <v>#REF!</v>
      </c>
      <c r="M34" s="863" t="s">
        <v>372</v>
      </c>
      <c r="N34" s="857"/>
      <c r="O34" s="857" t="e">
        <f>L34</f>
        <v>#REF!</v>
      </c>
    </row>
    <row r="35" spans="1:16" ht="15" customHeight="1" x14ac:dyDescent="0.15">
      <c r="A35" s="905"/>
      <c r="B35" s="146" t="e">
        <f>#REF!</f>
        <v>#REF!</v>
      </c>
      <c r="C35" s="186" t="e">
        <f>#REF!</f>
        <v>#REF!</v>
      </c>
      <c r="D35" s="187" t="e">
        <f>#REF!</f>
        <v>#REF!</v>
      </c>
      <c r="E35" s="147" t="e">
        <f>C35*D35/1000</f>
        <v>#REF!</v>
      </c>
      <c r="F35" s="148" t="s">
        <v>371</v>
      </c>
      <c r="G35" s="149"/>
      <c r="H35" s="150" t="e">
        <f t="shared" si="7"/>
        <v>#REF!</v>
      </c>
      <c r="I35" s="1161"/>
      <c r="J35" s="1151"/>
      <c r="K35" s="1154"/>
      <c r="L35" s="1156"/>
      <c r="M35" s="1162"/>
      <c r="N35" s="858"/>
      <c r="O35" s="858"/>
    </row>
    <row r="36" spans="1:16" ht="15" customHeight="1" x14ac:dyDescent="0.15">
      <c r="A36" s="905"/>
      <c r="B36" s="158" t="e">
        <f>#REF!</f>
        <v>#REF!</v>
      </c>
      <c r="C36" s="687" t="e">
        <f>#REF!</f>
        <v>#REF!</v>
      </c>
      <c r="D36" s="688" t="e">
        <f>#REF!</f>
        <v>#REF!</v>
      </c>
      <c r="E36" s="159" t="e">
        <f>C36*D36/1000</f>
        <v>#REF!</v>
      </c>
      <c r="F36" s="161" t="s">
        <v>371</v>
      </c>
      <c r="G36" s="162"/>
      <c r="H36" s="163" t="e">
        <f t="shared" si="7"/>
        <v>#REF!</v>
      </c>
      <c r="I36" s="870"/>
      <c r="J36" s="1152"/>
      <c r="K36" s="1155"/>
      <c r="L36" s="908"/>
      <c r="M36" s="1163"/>
      <c r="N36" s="873"/>
      <c r="O36" s="873"/>
    </row>
    <row r="37" spans="1:16" ht="15" customHeight="1" x14ac:dyDescent="0.15">
      <c r="A37" s="905"/>
      <c r="B37" s="173" t="e">
        <f>#REF!</f>
        <v>#REF!</v>
      </c>
      <c r="C37" s="691" t="e">
        <f>#REF!</f>
        <v>#REF!</v>
      </c>
      <c r="D37" s="692" t="e">
        <f>#REF!</f>
        <v>#REF!</v>
      </c>
      <c r="E37" s="176" t="e">
        <f t="shared" si="6"/>
        <v>#REF!</v>
      </c>
      <c r="F37" s="177" t="s">
        <v>332</v>
      </c>
      <c r="G37" s="178"/>
      <c r="H37" s="179" t="e">
        <f>E37</f>
        <v>#REF!</v>
      </c>
      <c r="I37" s="869" t="e">
        <f>H37+H38+H39</f>
        <v>#REF!</v>
      </c>
      <c r="J37" s="1150" t="e">
        <f>#REF!</f>
        <v>#REF!</v>
      </c>
      <c r="K37" s="1153" t="e">
        <f>#REF!</f>
        <v>#REF!</v>
      </c>
      <c r="L37" s="907" t="e">
        <f>I37*J37*K37</f>
        <v>#REF!</v>
      </c>
      <c r="M37" s="1157" t="s">
        <v>373</v>
      </c>
      <c r="N37" s="861"/>
      <c r="O37" s="857" t="e">
        <f>L37</f>
        <v>#REF!</v>
      </c>
    </row>
    <row r="38" spans="1:16" ht="15" customHeight="1" x14ac:dyDescent="0.15">
      <c r="A38" s="905"/>
      <c r="B38" s="215" t="e">
        <f>#REF!</f>
        <v>#REF!</v>
      </c>
      <c r="C38" s="216" t="e">
        <f>#REF!</f>
        <v>#REF!</v>
      </c>
      <c r="D38" s="187" t="e">
        <f>#REF!</f>
        <v>#REF!</v>
      </c>
      <c r="E38" s="147" t="e">
        <f t="shared" si="6"/>
        <v>#REF!</v>
      </c>
      <c r="F38" s="148" t="s">
        <v>371</v>
      </c>
      <c r="G38" s="219"/>
      <c r="H38" s="150" t="e">
        <f>E38</f>
        <v>#REF!</v>
      </c>
      <c r="I38" s="1161"/>
      <c r="J38" s="1151"/>
      <c r="K38" s="1154"/>
      <c r="L38" s="1156"/>
      <c r="M38" s="864"/>
      <c r="N38" s="1159"/>
      <c r="O38" s="858"/>
    </row>
    <row r="39" spans="1:16" ht="15" customHeight="1" x14ac:dyDescent="0.15">
      <c r="A39" s="905"/>
      <c r="B39" s="158" t="e">
        <f>#REF!</f>
        <v>#REF!</v>
      </c>
      <c r="C39" s="687" t="e">
        <f>#REF!</f>
        <v>#REF!</v>
      </c>
      <c r="D39" s="688" t="e">
        <f>#REF!</f>
        <v>#REF!</v>
      </c>
      <c r="E39" s="159" t="e">
        <f t="shared" si="6"/>
        <v>#REF!</v>
      </c>
      <c r="F39" s="161" t="s">
        <v>371</v>
      </c>
      <c r="G39" s="162"/>
      <c r="H39" s="163" t="e">
        <f>E39</f>
        <v>#REF!</v>
      </c>
      <c r="I39" s="870"/>
      <c r="J39" s="1152"/>
      <c r="K39" s="1155"/>
      <c r="L39" s="908"/>
      <c r="M39" s="1158"/>
      <c r="N39" s="1160"/>
      <c r="O39" s="873"/>
    </row>
    <row r="40" spans="1:16" ht="15" customHeight="1" x14ac:dyDescent="0.15">
      <c r="A40" s="905"/>
      <c r="B40" s="5" t="s">
        <v>164</v>
      </c>
      <c r="C40" s="689" t="e">
        <f>(#REF!-#REF!)*0.3025</f>
        <v>#REF!</v>
      </c>
      <c r="D40" s="686">
        <v>200</v>
      </c>
      <c r="E40" s="139" t="e">
        <f t="shared" si="6"/>
        <v>#REF!</v>
      </c>
      <c r="F40" s="140" t="s">
        <v>20</v>
      </c>
      <c r="G40" s="658"/>
      <c r="H40" s="142" t="e">
        <f t="shared" si="7"/>
        <v>#REF!</v>
      </c>
      <c r="I40" s="143" t="e">
        <f>E40</f>
        <v>#REF!</v>
      </c>
      <c r="J40" s="690" t="e">
        <f>#REF!</f>
        <v>#REF!</v>
      </c>
      <c r="K40" s="145" t="e">
        <f>#REF!</f>
        <v>#REF!</v>
      </c>
      <c r="L40" s="139" t="e">
        <f>I40*J40*K40</f>
        <v>#REF!</v>
      </c>
      <c r="M40" s="140"/>
      <c r="N40" s="141"/>
      <c r="O40" s="141" t="e">
        <f>L40</f>
        <v>#REF!</v>
      </c>
    </row>
    <row r="41" spans="1:16" ht="15" customHeight="1" x14ac:dyDescent="0.15">
      <c r="A41" s="905"/>
      <c r="B41" s="215" t="s">
        <v>123</v>
      </c>
      <c r="C41" s="216" t="e">
        <f>#REF!*0.3025</f>
        <v>#REF!</v>
      </c>
      <c r="D41" s="187">
        <v>100</v>
      </c>
      <c r="E41" s="147" t="e">
        <f t="shared" si="6"/>
        <v>#REF!</v>
      </c>
      <c r="F41" s="148" t="s">
        <v>20</v>
      </c>
      <c r="G41" s="219"/>
      <c r="H41" s="150" t="e">
        <f t="shared" si="7"/>
        <v>#REF!</v>
      </c>
      <c r="I41" s="220"/>
      <c r="J41" s="474"/>
      <c r="K41" s="221"/>
      <c r="L41" s="217"/>
      <c r="M41" s="218"/>
      <c r="N41" s="219"/>
      <c r="O41" s="219"/>
    </row>
    <row r="42" spans="1:16" ht="15" customHeight="1" x14ac:dyDescent="0.15">
      <c r="A42" s="905"/>
      <c r="B42" s="158" t="s">
        <v>127</v>
      </c>
      <c r="C42" s="159" t="e">
        <f>SUM(E31:E41)</f>
        <v>#REF!</v>
      </c>
      <c r="D42" s="160">
        <v>0.1</v>
      </c>
      <c r="E42" s="159" t="e">
        <f>C42*D42</f>
        <v>#REF!</v>
      </c>
      <c r="F42" s="188"/>
      <c r="G42" s="162"/>
      <c r="H42" s="163" t="e">
        <f t="shared" si="7"/>
        <v>#REF!</v>
      </c>
      <c r="I42" s="164"/>
      <c r="J42" s="165"/>
      <c r="K42" s="166"/>
      <c r="L42" s="159"/>
      <c r="M42" s="188"/>
      <c r="N42" s="162"/>
      <c r="O42" s="162"/>
    </row>
    <row r="43" spans="1:16" ht="15" customHeight="1" x14ac:dyDescent="0.15">
      <c r="A43" s="906"/>
      <c r="B43" s="9" t="s">
        <v>21</v>
      </c>
      <c r="C43" s="10"/>
      <c r="D43" s="9"/>
      <c r="E43" s="11" t="e">
        <f>SUM(E31:E42)</f>
        <v>#REF!</v>
      </c>
      <c r="F43" s="167"/>
      <c r="G43" s="168">
        <f>SUM(G31:G42)</f>
        <v>0</v>
      </c>
      <c r="H43" s="169" t="e">
        <f>SUM(H31:H42)</f>
        <v>#REF!</v>
      </c>
      <c r="I43" s="170" t="e">
        <f>SUM(I31:I42)</f>
        <v>#REF!</v>
      </c>
      <c r="J43" s="11"/>
      <c r="K43" s="172"/>
      <c r="L43" s="11" t="e">
        <f>SUM(L31:L42)</f>
        <v>#REF!</v>
      </c>
      <c r="M43" s="167"/>
      <c r="N43" s="168">
        <f>SUM(N31:N42)</f>
        <v>0</v>
      </c>
      <c r="O43" s="168" t="e">
        <f>SUM(O31:O42)</f>
        <v>#REF!</v>
      </c>
    </row>
    <row r="44" spans="1:16" ht="15" hidden="1" customHeight="1" x14ac:dyDescent="0.15">
      <c r="A44" s="888" t="s">
        <v>169</v>
      </c>
      <c r="B44" s="173" t="s">
        <v>123</v>
      </c>
      <c r="C44" s="240"/>
      <c r="D44" s="173"/>
      <c r="E44" s="176"/>
      <c r="F44" s="177"/>
      <c r="G44" s="178"/>
      <c r="H44" s="179"/>
      <c r="I44" s="241">
        <v>0</v>
      </c>
      <c r="J44" s="242">
        <v>30</v>
      </c>
      <c r="K44" s="243"/>
      <c r="L44" s="176">
        <f>I44*J44*K44/1000</f>
        <v>0</v>
      </c>
      <c r="M44" s="177" t="s">
        <v>172</v>
      </c>
      <c r="N44" s="193">
        <f>L44</f>
        <v>0</v>
      </c>
      <c r="O44" s="178"/>
    </row>
    <row r="45" spans="1:16" ht="15" hidden="1" customHeight="1" x14ac:dyDescent="0.15">
      <c r="A45" s="889"/>
      <c r="B45" s="232" t="s">
        <v>126</v>
      </c>
      <c r="C45" s="233"/>
      <c r="D45" s="8"/>
      <c r="E45" s="19"/>
      <c r="F45" s="234"/>
      <c r="G45" s="235"/>
      <c r="H45" s="236"/>
      <c r="I45" s="237" t="e">
        <f>#REF!</f>
        <v>#REF!</v>
      </c>
      <c r="J45" s="238">
        <v>53</v>
      </c>
      <c r="K45" s="239"/>
      <c r="L45" s="19" t="e">
        <f>I45*J45*K45/1000</f>
        <v>#REF!</v>
      </c>
      <c r="M45" s="234" t="e">
        <f>"単価：路線価"&amp;#REF!&amp;"千円/㎡×1.2"</f>
        <v>#REF!</v>
      </c>
      <c r="N45" s="162" t="e">
        <f>L45</f>
        <v>#REF!</v>
      </c>
      <c r="O45" s="235"/>
    </row>
    <row r="46" spans="1:16" ht="15" hidden="1" customHeight="1" x14ac:dyDescent="0.15">
      <c r="A46" s="890"/>
      <c r="B46" s="224" t="s">
        <v>397</v>
      </c>
      <c r="C46" s="225"/>
      <c r="D46" s="226"/>
      <c r="E46" s="227"/>
      <c r="F46" s="228"/>
      <c r="G46" s="168"/>
      <c r="H46" s="169"/>
      <c r="I46" s="229"/>
      <c r="J46" s="230"/>
      <c r="K46" s="231"/>
      <c r="L46" s="227" t="e">
        <f>SUM(L44:L45)</f>
        <v>#REF!</v>
      </c>
      <c r="M46" s="228"/>
      <c r="N46" s="168" t="e">
        <f>SUM(N44:N45)</f>
        <v>#REF!</v>
      </c>
      <c r="O46" s="168">
        <f>SUM(O44:O45)</f>
        <v>0</v>
      </c>
    </row>
    <row r="47" spans="1:16" ht="15" customHeight="1" thickBot="1" x14ac:dyDescent="0.2">
      <c r="A47" s="1145" t="s">
        <v>433</v>
      </c>
      <c r="B47" s="1146"/>
      <c r="C47" s="733"/>
      <c r="D47" s="734"/>
      <c r="E47" s="735"/>
      <c r="F47" s="736"/>
      <c r="G47" s="737"/>
      <c r="H47" s="738"/>
      <c r="I47" s="739"/>
      <c r="J47" s="740"/>
      <c r="K47" s="741"/>
      <c r="L47" s="764">
        <f>消費税還付の計算!C17</f>
        <v>-470.25</v>
      </c>
      <c r="M47" s="736"/>
      <c r="N47" s="737"/>
      <c r="O47" s="737"/>
    </row>
    <row r="48" spans="1:16" ht="15" customHeight="1" thickTop="1" x14ac:dyDescent="0.15">
      <c r="A48" s="1147" t="s">
        <v>161</v>
      </c>
      <c r="B48" s="1148"/>
      <c r="C48" s="8"/>
      <c r="D48" s="8"/>
      <c r="E48" s="732" t="e">
        <f>SUM(E43,E30,E19,E13)</f>
        <v>#REF!</v>
      </c>
      <c r="F48" s="234"/>
      <c r="G48" s="235" t="e">
        <f>SUM(G13,G19,G30,G43)</f>
        <v>#REF!</v>
      </c>
      <c r="H48" s="236" t="e">
        <f>SUM(H13,H19,H30,H43)</f>
        <v>#REF!</v>
      </c>
      <c r="I48" s="859" t="s">
        <v>434</v>
      </c>
      <c r="J48" s="860"/>
      <c r="K48" s="1149"/>
      <c r="L48" s="732" t="e">
        <f>SUM(L13,L19,L30,L43,L46,L47)</f>
        <v>#REF!</v>
      </c>
      <c r="M48" s="234"/>
      <c r="N48" s="235"/>
      <c r="O48" s="235"/>
    </row>
    <row r="49" spans="1:18" ht="15" customHeight="1" x14ac:dyDescent="0.15">
      <c r="A49" s="1131" t="s">
        <v>290</v>
      </c>
      <c r="B49" s="1132"/>
      <c r="C49" s="12" t="e">
        <f>E48</f>
        <v>#REF!</v>
      </c>
      <c r="D49" s="3">
        <v>0.03</v>
      </c>
      <c r="E49" s="12" t="e">
        <f>C49*D49</f>
        <v>#REF!</v>
      </c>
      <c r="F49" s="18" t="s">
        <v>292</v>
      </c>
      <c r="G49" s="189" t="e">
        <f>E49*$P$6</f>
        <v>#REF!</v>
      </c>
      <c r="H49" s="190" t="e">
        <f>E49*$Q$6</f>
        <v>#REF!</v>
      </c>
      <c r="I49" s="1133"/>
      <c r="J49" s="1134"/>
      <c r="K49" s="1135"/>
      <c r="L49" s="12"/>
      <c r="M49" s="18"/>
      <c r="N49" s="189"/>
      <c r="O49" s="189"/>
    </row>
    <row r="50" spans="1:18" ht="15" customHeight="1" x14ac:dyDescent="0.15">
      <c r="A50" s="1131" t="s">
        <v>291</v>
      </c>
      <c r="B50" s="1132"/>
      <c r="C50" s="12"/>
      <c r="D50" s="478">
        <v>5</v>
      </c>
      <c r="E50" s="12" t="e">
        <f>(E48+E49)*0.4*0.015*D50</f>
        <v>#REF!</v>
      </c>
      <c r="F50" s="479" t="s">
        <v>396</v>
      </c>
      <c r="G50" s="189" t="e">
        <f>E50*$P$6</f>
        <v>#REF!</v>
      </c>
      <c r="H50" s="190" t="e">
        <f>E50*$Q$6</f>
        <v>#REF!</v>
      </c>
      <c r="I50" s="1133"/>
      <c r="J50" s="1134"/>
      <c r="K50" s="1135"/>
      <c r="L50" s="12"/>
      <c r="M50" s="18"/>
      <c r="N50" s="189"/>
      <c r="O50" s="189"/>
    </row>
    <row r="51" spans="1:18" ht="15" customHeight="1" thickBot="1" x14ac:dyDescent="0.2">
      <c r="A51" s="1140" t="s">
        <v>118</v>
      </c>
      <c r="B51" s="1141"/>
      <c r="C51" s="191" t="e">
        <f>E48+E49+E50</f>
        <v>#REF!</v>
      </c>
      <c r="D51" s="94">
        <v>0.03</v>
      </c>
      <c r="E51" s="191" t="e">
        <f>C51*D51</f>
        <v>#REF!</v>
      </c>
      <c r="F51" s="192" t="s">
        <v>293</v>
      </c>
      <c r="G51" s="193" t="e">
        <f>E51*$P$6</f>
        <v>#REF!</v>
      </c>
      <c r="H51" s="194" t="e">
        <f>E51*$Q$6</f>
        <v>#REF!</v>
      </c>
      <c r="I51" s="1142"/>
      <c r="J51" s="1143"/>
      <c r="K51" s="1144"/>
      <c r="L51" s="191"/>
      <c r="M51" s="195"/>
      <c r="N51" s="193"/>
      <c r="O51" s="193"/>
    </row>
    <row r="52" spans="1:18" ht="15" customHeight="1" thickTop="1" x14ac:dyDescent="0.15">
      <c r="A52" s="196" t="s">
        <v>37</v>
      </c>
      <c r="B52" s="204"/>
      <c r="C52" s="197"/>
      <c r="D52" s="198"/>
      <c r="E52" s="199" t="e">
        <f>E48+E49+E50+E51</f>
        <v>#REF!</v>
      </c>
      <c r="F52" s="197"/>
      <c r="G52" s="200" t="e">
        <f>SUM(G48:G51)</f>
        <v>#REF!</v>
      </c>
      <c r="H52" s="201" t="e">
        <f>SUM(H48:H51)</f>
        <v>#REF!</v>
      </c>
      <c r="I52" s="202" t="s">
        <v>62</v>
      </c>
      <c r="J52" s="197"/>
      <c r="K52" s="203"/>
      <c r="L52" s="199" t="e">
        <f>L48</f>
        <v>#REF!</v>
      </c>
      <c r="M52" s="204"/>
      <c r="N52" s="200" t="e">
        <f>SUM(N13,N19,N30,N43,N46)</f>
        <v>#REF!</v>
      </c>
      <c r="O52" s="200" t="e">
        <f>SUM(O13,O19,O30,O43,O46)</f>
        <v>#REF!</v>
      </c>
    </row>
    <row r="53" spans="1:18" ht="15" customHeight="1" x14ac:dyDescent="0.15">
      <c r="A53" s="205"/>
      <c r="B53" s="206" t="s">
        <v>23</v>
      </c>
      <c r="C53" s="207"/>
      <c r="D53" s="208"/>
      <c r="E53" s="209" t="e">
        <f>G52</f>
        <v>#REF!</v>
      </c>
      <c r="F53" s="1136" t="s">
        <v>38</v>
      </c>
      <c r="G53" s="1137"/>
      <c r="H53" s="1137"/>
      <c r="I53" s="210"/>
      <c r="J53" s="211" t="s">
        <v>162</v>
      </c>
      <c r="K53" s="212"/>
      <c r="L53" s="209" t="e">
        <f>N52</f>
        <v>#REF!</v>
      </c>
      <c r="M53" s="1136" t="s">
        <v>38</v>
      </c>
      <c r="N53" s="1137"/>
      <c r="O53" s="1138"/>
      <c r="P53" s="17"/>
      <c r="Q53" s="17"/>
      <c r="R53" s="17"/>
    </row>
    <row r="54" spans="1:18" ht="15" customHeight="1" x14ac:dyDescent="0.15">
      <c r="A54" s="213"/>
      <c r="B54" s="206" t="s">
        <v>24</v>
      </c>
      <c r="C54" s="207"/>
      <c r="D54" s="208"/>
      <c r="E54" s="209" t="e">
        <f>H52</f>
        <v>#REF!</v>
      </c>
      <c r="F54" s="1136" t="s">
        <v>38</v>
      </c>
      <c r="G54" s="1137"/>
      <c r="H54" s="1137"/>
      <c r="I54" s="214"/>
      <c r="J54" s="211" t="s">
        <v>163</v>
      </c>
      <c r="K54" s="212"/>
      <c r="L54" s="209" t="e">
        <f>O52</f>
        <v>#REF!</v>
      </c>
      <c r="M54" s="1136" t="s">
        <v>38</v>
      </c>
      <c r="N54" s="1137"/>
      <c r="O54" s="1138"/>
      <c r="P54" s="17"/>
      <c r="Q54" s="17"/>
      <c r="R54" s="17"/>
    </row>
    <row r="55" spans="1:18" x14ac:dyDescent="0.15">
      <c r="A55" s="1139" t="s">
        <v>353</v>
      </c>
      <c r="B55" s="1139"/>
      <c r="C55" s="1139"/>
      <c r="D55" s="1139"/>
      <c r="E55" s="1139"/>
      <c r="F55" s="1139"/>
      <c r="G55" s="1139"/>
      <c r="H55" s="1139"/>
      <c r="I55" s="1139"/>
      <c r="J55" s="1139"/>
      <c r="K55" s="1139"/>
      <c r="L55" s="1139"/>
      <c r="M55" s="1139"/>
      <c r="N55" s="1139"/>
      <c r="O55" s="1139"/>
      <c r="P55" s="560"/>
    </row>
    <row r="56" spans="1:18" x14ac:dyDescent="0.15">
      <c r="A56" s="560"/>
      <c r="B56" s="560"/>
      <c r="C56" s="560"/>
      <c r="D56" s="560"/>
      <c r="E56" s="560"/>
      <c r="F56" s="560"/>
      <c r="G56" s="560"/>
      <c r="H56" s="560"/>
      <c r="I56" s="560"/>
      <c r="J56" s="560"/>
      <c r="K56" s="560"/>
      <c r="L56" s="560"/>
      <c r="M56" s="560"/>
      <c r="N56" s="561"/>
      <c r="O56" s="560"/>
      <c r="P56" s="560"/>
    </row>
    <row r="57" spans="1:18" x14ac:dyDescent="0.15">
      <c r="A57" s="560"/>
      <c r="B57" s="560"/>
      <c r="C57" s="560"/>
      <c r="D57" s="560"/>
      <c r="E57" s="560"/>
      <c r="F57" s="560"/>
      <c r="G57" s="560"/>
      <c r="H57" s="560"/>
      <c r="I57" s="560"/>
      <c r="J57" s="560"/>
      <c r="K57" s="560"/>
      <c r="L57" s="560"/>
      <c r="M57" s="560"/>
      <c r="N57" s="561"/>
      <c r="O57" s="560"/>
      <c r="P57" s="560"/>
    </row>
    <row r="58" spans="1:18" x14ac:dyDescent="0.15">
      <c r="I58" s="16"/>
      <c r="N58" s="16"/>
    </row>
  </sheetData>
  <mergeCells count="45">
    <mergeCell ref="F54:H54"/>
    <mergeCell ref="M54:O54"/>
    <mergeCell ref="A55:O55"/>
    <mergeCell ref="A50:B50"/>
    <mergeCell ref="I50:K50"/>
    <mergeCell ref="A51:B51"/>
    <mergeCell ref="I51:K51"/>
    <mergeCell ref="F53:H53"/>
    <mergeCell ref="M53:O53"/>
    <mergeCell ref="A44:A46"/>
    <mergeCell ref="A47:B47"/>
    <mergeCell ref="A48:B48"/>
    <mergeCell ref="I48:K48"/>
    <mergeCell ref="A49:B49"/>
    <mergeCell ref="I49:K49"/>
    <mergeCell ref="K31:K33"/>
    <mergeCell ref="O34:O36"/>
    <mergeCell ref="I37:I39"/>
    <mergeCell ref="J37:J39"/>
    <mergeCell ref="K37:K39"/>
    <mergeCell ref="L37:L39"/>
    <mergeCell ref="M37:M39"/>
    <mergeCell ref="N37:N39"/>
    <mergeCell ref="O37:O39"/>
    <mergeCell ref="R3:S3"/>
    <mergeCell ref="A14:A19"/>
    <mergeCell ref="A20:A30"/>
    <mergeCell ref="A31:A43"/>
    <mergeCell ref="I31:I33"/>
    <mergeCell ref="J31:J33"/>
    <mergeCell ref="L31:L33"/>
    <mergeCell ref="M31:M33"/>
    <mergeCell ref="N31:N33"/>
    <mergeCell ref="O31:O33"/>
    <mergeCell ref="I34:I36"/>
    <mergeCell ref="J34:J36"/>
    <mergeCell ref="K34:K36"/>
    <mergeCell ref="L34:L36"/>
    <mergeCell ref="M34:M36"/>
    <mergeCell ref="N34:N36"/>
    <mergeCell ref="A5:A13"/>
    <mergeCell ref="M1:O1"/>
    <mergeCell ref="B3:H3"/>
    <mergeCell ref="I3:O3"/>
    <mergeCell ref="P3:Q3"/>
  </mergeCells>
  <phoneticPr fontId="2"/>
  <printOptions horizontalCentered="1" verticalCentered="1"/>
  <pageMargins left="0.35433070866141736" right="0.35433070866141736" top="0.39370078740157483" bottom="0.39370078740157483" header="0.31496062992125984" footer="0.31496062992125984"/>
  <pageSetup paperSize="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39997558519241921"/>
    <pageSetUpPr fitToPage="1"/>
  </sheetPr>
  <dimension ref="A1:P68"/>
  <sheetViews>
    <sheetView workbookViewId="0"/>
  </sheetViews>
  <sheetFormatPr defaultRowHeight="13.5" x14ac:dyDescent="0.15"/>
  <cols>
    <col min="1" max="1" width="4.25" customWidth="1"/>
    <col min="2" max="2" width="4.875" customWidth="1"/>
    <col min="3" max="3" width="15.75" customWidth="1"/>
    <col min="4" max="4" width="5.75" customWidth="1"/>
    <col min="5" max="5" width="15.75" customWidth="1"/>
    <col min="6" max="6" width="5.75" customWidth="1"/>
    <col min="7" max="7" width="15.75" customWidth="1"/>
    <col min="8" max="8" width="5.75" customWidth="1"/>
    <col min="9" max="9" width="15.75" customWidth="1"/>
    <col min="10" max="10" width="5.75" customWidth="1"/>
    <col min="11" max="11" width="3.25" customWidth="1"/>
    <col min="12" max="12" width="11" customWidth="1"/>
    <col min="14" max="14" width="8.75" style="32" customWidth="1"/>
    <col min="16" max="16" width="9.75" bestFit="1" customWidth="1"/>
  </cols>
  <sheetData>
    <row r="1" spans="1:14" ht="14.25" x14ac:dyDescent="0.15">
      <c r="A1" s="760" t="s">
        <v>414</v>
      </c>
      <c r="E1" s="13" t="s">
        <v>415</v>
      </c>
    </row>
    <row r="2" spans="1:14" ht="15" thickBot="1" x14ac:dyDescent="0.2">
      <c r="A2" s="760"/>
      <c r="E2" s="13"/>
    </row>
    <row r="3" spans="1:14" ht="14.25" thickBot="1" x14ac:dyDescent="0.2">
      <c r="B3" s="1216" t="s">
        <v>413</v>
      </c>
      <c r="C3" s="1217"/>
    </row>
    <row r="4" spans="1:14" x14ac:dyDescent="0.15">
      <c r="B4" t="s">
        <v>399</v>
      </c>
      <c r="L4" s="26" t="s">
        <v>416</v>
      </c>
      <c r="M4" s="772">
        <v>80</v>
      </c>
    </row>
    <row r="5" spans="1:14" ht="14.25" thickBot="1" x14ac:dyDescent="0.2">
      <c r="C5" s="24" t="s">
        <v>408</v>
      </c>
      <c r="D5" s="24"/>
      <c r="E5" s="24" t="s">
        <v>406</v>
      </c>
      <c r="F5" s="24"/>
      <c r="G5" s="24" t="s">
        <v>407</v>
      </c>
      <c r="L5" s="26" t="s">
        <v>417</v>
      </c>
      <c r="M5" s="761">
        <v>23</v>
      </c>
      <c r="N5" s="32" t="s">
        <v>437</v>
      </c>
    </row>
    <row r="6" spans="1:14" ht="14.25" thickBot="1" x14ac:dyDescent="0.2">
      <c r="C6" s="756">
        <f>M6*100</f>
        <v>5700</v>
      </c>
      <c r="D6" s="32" t="s">
        <v>104</v>
      </c>
      <c r="E6" s="757">
        <f>M8/M4</f>
        <v>0.82499999999999996</v>
      </c>
      <c r="F6" s="32" t="s">
        <v>104</v>
      </c>
      <c r="G6" s="759">
        <v>0.1</v>
      </c>
      <c r="H6" s="32" t="s">
        <v>75</v>
      </c>
      <c r="I6" s="756">
        <f>C6*E6*G6</f>
        <v>470.25</v>
      </c>
      <c r="J6" s="25" t="s">
        <v>409</v>
      </c>
      <c r="L6" s="26" t="s">
        <v>418</v>
      </c>
      <c r="M6" s="761">
        <f>M4-M5</f>
        <v>57</v>
      </c>
    </row>
    <row r="7" spans="1:14" x14ac:dyDescent="0.15">
      <c r="L7" s="26" t="s">
        <v>48</v>
      </c>
      <c r="M7" s="761">
        <v>14</v>
      </c>
      <c r="N7" s="32" t="s">
        <v>437</v>
      </c>
    </row>
    <row r="8" spans="1:14" x14ac:dyDescent="0.15">
      <c r="B8" t="s">
        <v>400</v>
      </c>
      <c r="L8" s="26" t="s">
        <v>51</v>
      </c>
      <c r="M8" s="761">
        <f>M4-M7</f>
        <v>66</v>
      </c>
    </row>
    <row r="9" spans="1:14" x14ac:dyDescent="0.15">
      <c r="B9" t="s">
        <v>401</v>
      </c>
    </row>
    <row r="10" spans="1:14" ht="14.25" thickBot="1" x14ac:dyDescent="0.2">
      <c r="C10" s="24" t="s">
        <v>403</v>
      </c>
      <c r="D10" s="24"/>
      <c r="E10" s="24" t="s">
        <v>404</v>
      </c>
    </row>
    <row r="11" spans="1:14" ht="14.25" thickBot="1" x14ac:dyDescent="0.2">
      <c r="C11" s="756">
        <f>様式３!E11+様式３!E15+様式３!E33</f>
        <v>0</v>
      </c>
      <c r="D11" s="32" t="s">
        <v>104</v>
      </c>
      <c r="E11" s="757">
        <f>M6/M4</f>
        <v>0.71250000000000002</v>
      </c>
      <c r="F11" s="32" t="s">
        <v>75</v>
      </c>
      <c r="G11" s="758">
        <f>C11*E11</f>
        <v>0</v>
      </c>
      <c r="H11" s="25" t="s">
        <v>410</v>
      </c>
    </row>
    <row r="12" spans="1:14" x14ac:dyDescent="0.15">
      <c r="B12" t="s">
        <v>402</v>
      </c>
    </row>
    <row r="13" spans="1:14" ht="14.25" thickBot="1" x14ac:dyDescent="0.2">
      <c r="C13" s="24" t="s">
        <v>403</v>
      </c>
      <c r="D13" s="24"/>
      <c r="E13" s="24" t="s">
        <v>405</v>
      </c>
      <c r="G13" s="24" t="s">
        <v>406</v>
      </c>
    </row>
    <row r="14" spans="1:14" ht="14.25" thickBot="1" x14ac:dyDescent="0.2">
      <c r="C14" s="756">
        <f>C11</f>
        <v>0</v>
      </c>
      <c r="D14" s="32" t="s">
        <v>104</v>
      </c>
      <c r="E14" s="757">
        <f>M5/M4</f>
        <v>0.28749999999999998</v>
      </c>
      <c r="F14" s="32" t="s">
        <v>104</v>
      </c>
      <c r="G14" s="757">
        <f>M8/M4</f>
        <v>0.82499999999999996</v>
      </c>
      <c r="H14" s="32" t="s">
        <v>75</v>
      </c>
      <c r="I14" s="758">
        <f>C14*E14*G14</f>
        <v>0</v>
      </c>
      <c r="J14" s="25" t="s">
        <v>411</v>
      </c>
    </row>
    <row r="16" spans="1:14" ht="14.25" thickBot="1" x14ac:dyDescent="0.2">
      <c r="B16" t="s">
        <v>412</v>
      </c>
    </row>
    <row r="17" spans="2:14" ht="14.25" thickBot="1" x14ac:dyDescent="0.2">
      <c r="C17" s="773">
        <f>G11+I14-I6</f>
        <v>-470.25</v>
      </c>
    </row>
    <row r="18" spans="2:14" x14ac:dyDescent="0.15">
      <c r="C18" s="452"/>
    </row>
    <row r="19" spans="2:14" ht="14.25" thickBot="1" x14ac:dyDescent="0.2"/>
    <row r="20" spans="2:14" ht="14.25" thickBot="1" x14ac:dyDescent="0.2">
      <c r="B20" s="1216" t="s">
        <v>420</v>
      </c>
      <c r="C20" s="1217"/>
    </row>
    <row r="21" spans="2:14" x14ac:dyDescent="0.15">
      <c r="B21" t="s">
        <v>399</v>
      </c>
      <c r="L21" s="26" t="s">
        <v>416</v>
      </c>
      <c r="M21" s="772">
        <v>70</v>
      </c>
    </row>
    <row r="22" spans="2:14" ht="14.25" thickBot="1" x14ac:dyDescent="0.2">
      <c r="C22" s="24" t="s">
        <v>408</v>
      </c>
      <c r="D22" s="24"/>
      <c r="E22" s="24" t="s">
        <v>406</v>
      </c>
      <c r="F22" s="24"/>
      <c r="G22" s="24" t="s">
        <v>407</v>
      </c>
      <c r="L22" s="26" t="s">
        <v>417</v>
      </c>
      <c r="M22" s="761">
        <v>23</v>
      </c>
      <c r="N22" s="32" t="s">
        <v>437</v>
      </c>
    </row>
    <row r="23" spans="2:14" ht="14.25" thickBot="1" x14ac:dyDescent="0.2">
      <c r="C23" s="756">
        <f>M23*100</f>
        <v>4700</v>
      </c>
      <c r="D23" s="32" t="s">
        <v>104</v>
      </c>
      <c r="E23" s="757">
        <f>M25/M21</f>
        <v>0.8</v>
      </c>
      <c r="F23" s="32" t="s">
        <v>104</v>
      </c>
      <c r="G23" s="759">
        <v>0.1</v>
      </c>
      <c r="H23" s="32" t="s">
        <v>75</v>
      </c>
      <c r="I23" s="756">
        <f>C23*E23*G23</f>
        <v>376</v>
      </c>
      <c r="J23" s="25" t="s">
        <v>409</v>
      </c>
      <c r="L23" s="26" t="s">
        <v>418</v>
      </c>
      <c r="M23" s="761">
        <f>M21-M22</f>
        <v>47</v>
      </c>
    </row>
    <row r="24" spans="2:14" x14ac:dyDescent="0.15">
      <c r="L24" s="26" t="s">
        <v>48</v>
      </c>
      <c r="M24" s="761">
        <v>14</v>
      </c>
      <c r="N24" s="32" t="s">
        <v>437</v>
      </c>
    </row>
    <row r="25" spans="2:14" x14ac:dyDescent="0.15">
      <c r="B25" t="s">
        <v>400</v>
      </c>
      <c r="L25" s="26" t="s">
        <v>51</v>
      </c>
      <c r="M25" s="761">
        <f>M21-M24</f>
        <v>56</v>
      </c>
    </row>
    <row r="26" spans="2:14" x14ac:dyDescent="0.15">
      <c r="B26" t="s">
        <v>401</v>
      </c>
    </row>
    <row r="27" spans="2:14" ht="14.25" thickBot="1" x14ac:dyDescent="0.2">
      <c r="C27" s="24" t="s">
        <v>403</v>
      </c>
      <c r="D27" s="24"/>
      <c r="E27" s="24" t="s">
        <v>404</v>
      </c>
    </row>
    <row r="28" spans="2:14" ht="14.25" thickBot="1" x14ac:dyDescent="0.2">
      <c r="C28" s="756" t="e">
        <f>'事業費B(還付・工事費減)'!E12+'事業費B(還付・工事費減)'!E18+'事業費B(還付・工事費減)'!E42</f>
        <v>#REF!</v>
      </c>
      <c r="D28" s="32" t="s">
        <v>104</v>
      </c>
      <c r="E28" s="757">
        <f>M23/M21</f>
        <v>0.67142857142857137</v>
      </c>
      <c r="F28" s="32" t="s">
        <v>75</v>
      </c>
      <c r="G28" s="758" t="e">
        <f>C28*E28</f>
        <v>#REF!</v>
      </c>
      <c r="H28" s="25" t="s">
        <v>410</v>
      </c>
    </row>
    <row r="29" spans="2:14" x14ac:dyDescent="0.15">
      <c r="B29" t="s">
        <v>402</v>
      </c>
    </row>
    <row r="30" spans="2:14" ht="14.25" thickBot="1" x14ac:dyDescent="0.2">
      <c r="C30" s="24" t="s">
        <v>403</v>
      </c>
      <c r="D30" s="24"/>
      <c r="E30" s="24" t="s">
        <v>405</v>
      </c>
      <c r="G30" s="24" t="s">
        <v>406</v>
      </c>
    </row>
    <row r="31" spans="2:14" ht="14.25" thickBot="1" x14ac:dyDescent="0.2">
      <c r="C31" s="756" t="e">
        <f>C28</f>
        <v>#REF!</v>
      </c>
      <c r="D31" s="32" t="s">
        <v>104</v>
      </c>
      <c r="E31" s="757">
        <f>M22/M21</f>
        <v>0.32857142857142857</v>
      </c>
      <c r="F31" s="32" t="s">
        <v>104</v>
      </c>
      <c r="G31" s="757">
        <f>M25/M21</f>
        <v>0.8</v>
      </c>
      <c r="H31" s="32" t="s">
        <v>75</v>
      </c>
      <c r="I31" s="758" t="e">
        <f>C31*E31*G31</f>
        <v>#REF!</v>
      </c>
      <c r="J31" s="25" t="s">
        <v>411</v>
      </c>
    </row>
    <row r="33" spans="2:14" ht="14.25" thickBot="1" x14ac:dyDescent="0.2">
      <c r="B33" t="s">
        <v>412</v>
      </c>
    </row>
    <row r="34" spans="2:14" ht="14.25" thickBot="1" x14ac:dyDescent="0.2">
      <c r="C34" s="773" t="e">
        <f>G28+I31-I23</f>
        <v>#REF!</v>
      </c>
    </row>
    <row r="35" spans="2:14" x14ac:dyDescent="0.15">
      <c r="C35" s="452"/>
    </row>
    <row r="36" spans="2:14" ht="14.25" thickBot="1" x14ac:dyDescent="0.2"/>
    <row r="37" spans="2:14" ht="14.25" hidden="1" thickBot="1" x14ac:dyDescent="0.2">
      <c r="B37" s="1216" t="s">
        <v>421</v>
      </c>
      <c r="C37" s="1217"/>
    </row>
    <row r="38" spans="2:14" hidden="1" x14ac:dyDescent="0.15">
      <c r="B38" t="s">
        <v>399</v>
      </c>
      <c r="L38" s="26" t="s">
        <v>416</v>
      </c>
      <c r="M38" s="772">
        <v>74</v>
      </c>
    </row>
    <row r="39" spans="2:14" ht="14.25" hidden="1" thickBot="1" x14ac:dyDescent="0.2">
      <c r="C39" s="24" t="s">
        <v>408</v>
      </c>
      <c r="D39" s="24"/>
      <c r="E39" s="24" t="s">
        <v>406</v>
      </c>
      <c r="F39" s="24"/>
      <c r="G39" s="24" t="s">
        <v>407</v>
      </c>
      <c r="L39" s="26" t="s">
        <v>417</v>
      </c>
      <c r="M39" s="761">
        <v>23</v>
      </c>
      <c r="N39" s="32" t="s">
        <v>437</v>
      </c>
    </row>
    <row r="40" spans="2:14" ht="14.25" hidden="1" thickBot="1" x14ac:dyDescent="0.2">
      <c r="C40" s="756">
        <f>M40*100</f>
        <v>5100</v>
      </c>
      <c r="D40" s="32" t="s">
        <v>104</v>
      </c>
      <c r="E40" s="757">
        <f>M42/M38</f>
        <v>0.81081081081081086</v>
      </c>
      <c r="F40" s="32" t="s">
        <v>104</v>
      </c>
      <c r="G40" s="759">
        <v>0.1</v>
      </c>
      <c r="H40" s="32" t="s">
        <v>75</v>
      </c>
      <c r="I40" s="756">
        <f>C40*E40*G40</f>
        <v>413.51351351351354</v>
      </c>
      <c r="J40" s="25" t="s">
        <v>409</v>
      </c>
      <c r="L40" s="26" t="s">
        <v>418</v>
      </c>
      <c r="M40" s="761">
        <f>M38-M39</f>
        <v>51</v>
      </c>
    </row>
    <row r="41" spans="2:14" hidden="1" x14ac:dyDescent="0.15">
      <c r="L41" s="26" t="s">
        <v>48</v>
      </c>
      <c r="M41" s="761">
        <v>14</v>
      </c>
      <c r="N41" s="32" t="s">
        <v>437</v>
      </c>
    </row>
    <row r="42" spans="2:14" hidden="1" x14ac:dyDescent="0.15">
      <c r="B42" t="s">
        <v>400</v>
      </c>
      <c r="L42" s="26" t="s">
        <v>51</v>
      </c>
      <c r="M42" s="761">
        <f>M38-M41</f>
        <v>60</v>
      </c>
    </row>
    <row r="43" spans="2:14" hidden="1" x14ac:dyDescent="0.15">
      <c r="B43" t="s">
        <v>401</v>
      </c>
    </row>
    <row r="44" spans="2:14" ht="14.25" hidden="1" thickBot="1" x14ac:dyDescent="0.2">
      <c r="C44" s="24" t="s">
        <v>403</v>
      </c>
      <c r="D44" s="24"/>
      <c r="E44" s="24" t="s">
        <v>404</v>
      </c>
    </row>
    <row r="45" spans="2:14" ht="14.25" hidden="1" thickBot="1" x14ac:dyDescent="0.2">
      <c r="C45" s="756">
        <f>C11</f>
        <v>0</v>
      </c>
      <c r="D45" s="32" t="s">
        <v>104</v>
      </c>
      <c r="E45" s="757">
        <f>M40/M38</f>
        <v>0.68918918918918914</v>
      </c>
      <c r="F45" s="32" t="s">
        <v>75</v>
      </c>
      <c r="G45" s="758">
        <f>C45*E45</f>
        <v>0</v>
      </c>
      <c r="H45" s="25" t="s">
        <v>410</v>
      </c>
    </row>
    <row r="46" spans="2:14" hidden="1" x14ac:dyDescent="0.15">
      <c r="B46" t="s">
        <v>402</v>
      </c>
    </row>
    <row r="47" spans="2:14" ht="14.25" hidden="1" thickBot="1" x14ac:dyDescent="0.2">
      <c r="C47" s="24" t="s">
        <v>403</v>
      </c>
      <c r="D47" s="24"/>
      <c r="E47" s="24" t="s">
        <v>405</v>
      </c>
      <c r="G47" s="24" t="s">
        <v>406</v>
      </c>
    </row>
    <row r="48" spans="2:14" ht="14.25" hidden="1" thickBot="1" x14ac:dyDescent="0.2">
      <c r="C48" s="756">
        <f>C45</f>
        <v>0</v>
      </c>
      <c r="D48" s="32" t="s">
        <v>104</v>
      </c>
      <c r="E48" s="757">
        <f>M39/M38</f>
        <v>0.3108108108108108</v>
      </c>
      <c r="F48" s="32" t="s">
        <v>104</v>
      </c>
      <c r="G48" s="757">
        <f>M42/M38</f>
        <v>0.81081081081081086</v>
      </c>
      <c r="H48" s="32" t="s">
        <v>75</v>
      </c>
      <c r="I48" s="758">
        <f>C48*E48*G48</f>
        <v>0</v>
      </c>
      <c r="J48" s="25" t="s">
        <v>411</v>
      </c>
    </row>
    <row r="49" spans="2:16" hidden="1" x14ac:dyDescent="0.15"/>
    <row r="50" spans="2:16" ht="14.25" hidden="1" thickBot="1" x14ac:dyDescent="0.2">
      <c r="B50" t="s">
        <v>412</v>
      </c>
    </row>
    <row r="51" spans="2:16" ht="14.25" hidden="1" thickBot="1" x14ac:dyDescent="0.2">
      <c r="C51" s="773">
        <f>G45+I48-I40</f>
        <v>-413.51351351351354</v>
      </c>
    </row>
    <row r="52" spans="2:16" hidden="1" x14ac:dyDescent="0.15">
      <c r="C52" s="452"/>
    </row>
    <row r="53" spans="2:16" ht="14.25" hidden="1" thickBot="1" x14ac:dyDescent="0.2"/>
    <row r="54" spans="2:16" ht="14.25" thickBot="1" x14ac:dyDescent="0.2">
      <c r="B54" s="1216" t="s">
        <v>419</v>
      </c>
      <c r="C54" s="1217"/>
    </row>
    <row r="55" spans="2:16" x14ac:dyDescent="0.15">
      <c r="B55" t="s">
        <v>399</v>
      </c>
      <c r="L55" s="26" t="s">
        <v>416</v>
      </c>
      <c r="M55" s="772">
        <v>68</v>
      </c>
    </row>
    <row r="56" spans="2:16" ht="14.25" thickBot="1" x14ac:dyDescent="0.2">
      <c r="C56" s="24" t="s">
        <v>408</v>
      </c>
      <c r="D56" s="24"/>
      <c r="E56" s="24" t="s">
        <v>406</v>
      </c>
      <c r="F56" s="24"/>
      <c r="G56" s="24" t="s">
        <v>407</v>
      </c>
      <c r="L56" s="26" t="s">
        <v>417</v>
      </c>
      <c r="M56" s="761">
        <v>23</v>
      </c>
      <c r="N56" s="32" t="s">
        <v>437</v>
      </c>
    </row>
    <row r="57" spans="2:16" ht="14.25" thickBot="1" x14ac:dyDescent="0.2">
      <c r="C57" s="756">
        <f>M57*100</f>
        <v>4500</v>
      </c>
      <c r="D57" s="32" t="s">
        <v>104</v>
      </c>
      <c r="E57" s="757">
        <f>M59/M55</f>
        <v>0.79411764705882348</v>
      </c>
      <c r="F57" s="32" t="s">
        <v>104</v>
      </c>
      <c r="G57" s="759">
        <v>0.1</v>
      </c>
      <c r="H57" s="32" t="s">
        <v>75</v>
      </c>
      <c r="I57" s="756">
        <f>C57*E57*G57</f>
        <v>357.35294117647061</v>
      </c>
      <c r="J57" s="25" t="s">
        <v>409</v>
      </c>
      <c r="L57" s="26" t="s">
        <v>418</v>
      </c>
      <c r="M57" s="761">
        <f>M55-M56</f>
        <v>45</v>
      </c>
    </row>
    <row r="58" spans="2:16" x14ac:dyDescent="0.15">
      <c r="L58" s="26" t="s">
        <v>48</v>
      </c>
      <c r="M58" s="761">
        <v>14</v>
      </c>
      <c r="N58" s="32" t="s">
        <v>437</v>
      </c>
    </row>
    <row r="59" spans="2:16" x14ac:dyDescent="0.15">
      <c r="B59" t="s">
        <v>400</v>
      </c>
      <c r="L59" s="26" t="s">
        <v>51</v>
      </c>
      <c r="M59" s="761">
        <f>M55-M58</f>
        <v>54</v>
      </c>
    </row>
    <row r="60" spans="2:16" x14ac:dyDescent="0.15">
      <c r="B60" t="s">
        <v>401</v>
      </c>
    </row>
    <row r="61" spans="2:16" ht="14.25" thickBot="1" x14ac:dyDescent="0.2">
      <c r="C61" s="24" t="s">
        <v>403</v>
      </c>
      <c r="D61" s="24"/>
      <c r="E61" s="24" t="s">
        <v>404</v>
      </c>
      <c r="O61" t="s">
        <v>423</v>
      </c>
      <c r="P61" s="774">
        <f>(5666-952-580*513/577)/5666</f>
        <v>0.74096942386738129</v>
      </c>
    </row>
    <row r="62" spans="2:16" ht="14.25" thickBot="1" x14ac:dyDescent="0.2">
      <c r="C62" s="756">
        <f>C11</f>
        <v>0</v>
      </c>
      <c r="D62" s="32" t="s">
        <v>104</v>
      </c>
      <c r="E62" s="757">
        <f>M57/M55</f>
        <v>0.66176470588235292</v>
      </c>
      <c r="F62" s="32" t="s">
        <v>75</v>
      </c>
      <c r="G62" s="758">
        <f>C62*E62</f>
        <v>0</v>
      </c>
      <c r="H62" s="25" t="s">
        <v>410</v>
      </c>
      <c r="O62" t="s">
        <v>424</v>
      </c>
      <c r="P62" s="774">
        <f>1-P61</f>
        <v>0.25903057613261871</v>
      </c>
    </row>
    <row r="63" spans="2:16" x14ac:dyDescent="0.15">
      <c r="B63" t="s">
        <v>402</v>
      </c>
      <c r="P63" s="774">
        <f>(5666-952-580*513/577)/4438</f>
        <v>0.9459965650366341</v>
      </c>
    </row>
    <row r="64" spans="2:16" ht="14.25" thickBot="1" x14ac:dyDescent="0.2">
      <c r="C64" s="24" t="s">
        <v>403</v>
      </c>
      <c r="D64" s="24"/>
      <c r="E64" s="24" t="s">
        <v>405</v>
      </c>
      <c r="G64" s="24" t="s">
        <v>406</v>
      </c>
    </row>
    <row r="65" spans="2:10" ht="14.25" thickBot="1" x14ac:dyDescent="0.2">
      <c r="C65" s="756">
        <f>C62</f>
        <v>0</v>
      </c>
      <c r="D65" s="32" t="s">
        <v>104</v>
      </c>
      <c r="E65" s="757">
        <f>M56/M55</f>
        <v>0.33823529411764708</v>
      </c>
      <c r="F65" s="32" t="s">
        <v>104</v>
      </c>
      <c r="G65" s="757">
        <f>M59/M55</f>
        <v>0.79411764705882348</v>
      </c>
      <c r="H65" s="32" t="s">
        <v>75</v>
      </c>
      <c r="I65" s="758">
        <f>C65*E65*G65</f>
        <v>0</v>
      </c>
      <c r="J65" s="25" t="s">
        <v>411</v>
      </c>
    </row>
    <row r="67" spans="2:10" ht="14.25" thickBot="1" x14ac:dyDescent="0.2">
      <c r="B67" t="s">
        <v>412</v>
      </c>
    </row>
    <row r="68" spans="2:10" ht="14.25" thickBot="1" x14ac:dyDescent="0.2">
      <c r="C68" s="773">
        <f>G62+I65-I57</f>
        <v>-357.35294117647061</v>
      </c>
    </row>
  </sheetData>
  <mergeCells count="4">
    <mergeCell ref="B3:C3"/>
    <mergeCell ref="B20:C20"/>
    <mergeCell ref="B37:C37"/>
    <mergeCell ref="B54:C54"/>
  </mergeCells>
  <phoneticPr fontId="2"/>
  <pageMargins left="0.7" right="0.7" top="0.75" bottom="0.75" header="0.3" footer="0.3"/>
  <pageSetup paperSize="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9"/>
  <sheetViews>
    <sheetView workbookViewId="0"/>
  </sheetViews>
  <sheetFormatPr defaultRowHeight="13.5" x14ac:dyDescent="0.15"/>
  <cols>
    <col min="1" max="1" width="4.5" customWidth="1"/>
  </cols>
  <sheetData>
    <row r="1" spans="1:11" x14ac:dyDescent="0.15">
      <c r="A1" s="778" t="s">
        <v>447</v>
      </c>
    </row>
    <row r="2" spans="1:11" x14ac:dyDescent="0.15">
      <c r="A2" s="778"/>
    </row>
    <row r="3" spans="1:11" ht="14.25" thickBot="1" x14ac:dyDescent="0.2">
      <c r="B3" t="s">
        <v>441</v>
      </c>
    </row>
    <row r="4" spans="1:11" x14ac:dyDescent="0.15">
      <c r="B4" s="1218">
        <v>3000</v>
      </c>
      <c r="C4" s="1219"/>
      <c r="D4" s="1219"/>
      <c r="E4" s="1219">
        <v>5000</v>
      </c>
      <c r="F4" s="1219"/>
      <c r="G4" s="1219"/>
      <c r="H4" s="1222" t="e">
        <f>#REF!</f>
        <v>#REF!</v>
      </c>
      <c r="I4" s="1222"/>
      <c r="J4" s="1222"/>
      <c r="K4" s="1223"/>
    </row>
    <row r="5" spans="1:11" x14ac:dyDescent="0.15">
      <c r="B5" s="1220"/>
      <c r="C5" s="1221"/>
      <c r="D5" s="1221"/>
      <c r="E5" s="1221"/>
      <c r="F5" s="1221"/>
      <c r="G5" s="1221"/>
      <c r="H5" s="1224"/>
      <c r="I5" s="1224"/>
      <c r="J5" s="1224"/>
      <c r="K5" s="1225"/>
    </row>
    <row r="6" spans="1:11" x14ac:dyDescent="0.15">
      <c r="B6" s="1226">
        <v>1.27</v>
      </c>
      <c r="C6" s="1227"/>
      <c r="D6" s="1227"/>
      <c r="E6" s="1227">
        <v>1.1200000000000001</v>
      </c>
      <c r="F6" s="1227"/>
      <c r="G6" s="1227"/>
      <c r="H6" s="1230" t="e">
        <f>IF(H4="-","-",ROUNDDOWN(B6-(($H4-$B4)*((B6-E6)/($E4-$B4))),2))</f>
        <v>#REF!</v>
      </c>
      <c r="I6" s="1230"/>
      <c r="J6" s="1230"/>
      <c r="K6" s="1231"/>
    </row>
    <row r="7" spans="1:11" ht="14.25" thickBot="1" x14ac:dyDescent="0.2">
      <c r="B7" s="1228"/>
      <c r="C7" s="1229"/>
      <c r="D7" s="1229"/>
      <c r="E7" s="1229"/>
      <c r="F7" s="1229"/>
      <c r="G7" s="1229"/>
      <c r="H7" s="1232"/>
      <c r="I7" s="1232"/>
      <c r="J7" s="1232"/>
      <c r="K7" s="1233"/>
    </row>
    <row r="8" spans="1:11" x14ac:dyDescent="0.15">
      <c r="B8" s="779"/>
      <c r="C8" s="779"/>
      <c r="D8" s="779"/>
      <c r="E8" s="779"/>
      <c r="F8" s="779"/>
      <c r="G8" s="779"/>
      <c r="H8" s="779"/>
      <c r="I8" s="779"/>
      <c r="J8" s="779"/>
      <c r="K8" s="779"/>
    </row>
    <row r="9" spans="1:11" ht="14.25" thickBot="1" x14ac:dyDescent="0.2">
      <c r="B9" s="779" t="s">
        <v>442</v>
      </c>
      <c r="C9" s="779"/>
      <c r="D9" s="779"/>
      <c r="E9" s="779"/>
      <c r="F9" s="779"/>
      <c r="G9" s="779"/>
      <c r="H9" s="779"/>
      <c r="I9" s="779"/>
      <c r="J9" s="779"/>
      <c r="K9" s="779"/>
    </row>
    <row r="10" spans="1:11" x14ac:dyDescent="0.15">
      <c r="B10" s="1218">
        <v>3000</v>
      </c>
      <c r="C10" s="1219"/>
      <c r="D10" s="1219"/>
      <c r="E10" s="1219">
        <v>5000</v>
      </c>
      <c r="F10" s="1219"/>
      <c r="G10" s="1219"/>
      <c r="H10" s="1222" t="e">
        <f>#REF!</f>
        <v>#REF!</v>
      </c>
      <c r="I10" s="1222"/>
      <c r="J10" s="1222"/>
      <c r="K10" s="1223"/>
    </row>
    <row r="11" spans="1:11" x14ac:dyDescent="0.15">
      <c r="B11" s="1220"/>
      <c r="C11" s="1221"/>
      <c r="D11" s="1221"/>
      <c r="E11" s="1221"/>
      <c r="F11" s="1221"/>
      <c r="G11" s="1221"/>
      <c r="H11" s="1224"/>
      <c r="I11" s="1224"/>
      <c r="J11" s="1224"/>
      <c r="K11" s="1225"/>
    </row>
    <row r="12" spans="1:11" x14ac:dyDescent="0.15">
      <c r="B12" s="1226">
        <v>4.66</v>
      </c>
      <c r="C12" s="1227"/>
      <c r="D12" s="1227"/>
      <c r="E12" s="1227">
        <v>4.1100000000000003</v>
      </c>
      <c r="F12" s="1227"/>
      <c r="G12" s="1227"/>
      <c r="H12" s="1230" t="e">
        <f>IF(H10="-","-",ROUNDDOWN(B12-(($H10-$B10)*((B12-E12)/($E10-$B10))),2))</f>
        <v>#REF!</v>
      </c>
      <c r="I12" s="1230"/>
      <c r="J12" s="1230"/>
      <c r="K12" s="1231"/>
    </row>
    <row r="13" spans="1:11" ht="14.25" thickBot="1" x14ac:dyDescent="0.2">
      <c r="B13" s="1228"/>
      <c r="C13" s="1229"/>
      <c r="D13" s="1229"/>
      <c r="E13" s="1229"/>
      <c r="F13" s="1229"/>
      <c r="G13" s="1229"/>
      <c r="H13" s="1232"/>
      <c r="I13" s="1232"/>
      <c r="J13" s="1232"/>
      <c r="K13" s="1233"/>
    </row>
    <row r="14" spans="1:11" ht="14.25" thickBot="1" x14ac:dyDescent="0.2"/>
    <row r="15" spans="1:11" ht="14.25" thickBot="1" x14ac:dyDescent="0.2">
      <c r="B15" s="1238"/>
      <c r="C15" s="1238"/>
      <c r="D15" s="1238"/>
      <c r="H15" s="1239" t="s">
        <v>443</v>
      </c>
      <c r="I15" s="1240"/>
      <c r="J15" s="1241" t="e">
        <f>H4*H6/100</f>
        <v>#REF!</v>
      </c>
      <c r="K15" s="1242"/>
    </row>
    <row r="16" spans="1:11" ht="14.25" thickBot="1" x14ac:dyDescent="0.2">
      <c r="H16" s="780"/>
      <c r="I16" s="781"/>
      <c r="J16" s="781"/>
      <c r="K16" s="781"/>
    </row>
    <row r="17" spans="8:11" ht="14.25" thickBot="1" x14ac:dyDescent="0.2">
      <c r="H17" s="1243" t="s">
        <v>444</v>
      </c>
      <c r="I17" s="1244"/>
      <c r="J17" s="1245" t="e">
        <f>H10*H12/100</f>
        <v>#REF!</v>
      </c>
      <c r="K17" s="1246"/>
    </row>
    <row r="18" spans="8:11" ht="14.25" thickTop="1" x14ac:dyDescent="0.15">
      <c r="H18" s="1247" t="s">
        <v>445</v>
      </c>
      <c r="I18" s="1248"/>
      <c r="J18" s="1249" t="e">
        <f>J17*0.7</f>
        <v>#REF!</v>
      </c>
      <c r="K18" s="1250"/>
    </row>
    <row r="19" spans="8:11" ht="14.25" thickBot="1" x14ac:dyDescent="0.2">
      <c r="H19" s="1234" t="s">
        <v>446</v>
      </c>
      <c r="I19" s="1235"/>
      <c r="J19" s="1236" t="e">
        <f>J17*0.3</f>
        <v>#REF!</v>
      </c>
      <c r="K19" s="1237"/>
    </row>
  </sheetData>
  <mergeCells count="21">
    <mergeCell ref="H19:I19"/>
    <mergeCell ref="J19:K19"/>
    <mergeCell ref="B15:D15"/>
    <mergeCell ref="H15:I15"/>
    <mergeCell ref="J15:K15"/>
    <mergeCell ref="H17:I17"/>
    <mergeCell ref="J17:K17"/>
    <mergeCell ref="H18:I18"/>
    <mergeCell ref="J18:K18"/>
    <mergeCell ref="B10:D11"/>
    <mergeCell ref="E10:G11"/>
    <mergeCell ref="H10:K11"/>
    <mergeCell ref="B12:D13"/>
    <mergeCell ref="E12:G13"/>
    <mergeCell ref="H12:K13"/>
    <mergeCell ref="B4:D5"/>
    <mergeCell ref="E4:G5"/>
    <mergeCell ref="H4:K5"/>
    <mergeCell ref="B6:D7"/>
    <mergeCell ref="E6:G7"/>
    <mergeCell ref="H6:K7"/>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D87"/>
  <sheetViews>
    <sheetView workbookViewId="0"/>
  </sheetViews>
  <sheetFormatPr defaultColWidth="8.75" defaultRowHeight="13.5" x14ac:dyDescent="0.15"/>
  <cols>
    <col min="1" max="86" width="2.5" style="552" customWidth="1"/>
    <col min="87" max="16384" width="8.75" style="552"/>
  </cols>
  <sheetData>
    <row r="1" spans="1:56" x14ac:dyDescent="0.15">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565"/>
      <c r="AM1" s="565"/>
      <c r="AN1" s="565"/>
      <c r="AO1" s="565"/>
      <c r="AP1" s="29"/>
      <c r="AQ1" s="29"/>
      <c r="AR1" s="29"/>
      <c r="AS1" s="1273" t="s">
        <v>382</v>
      </c>
      <c r="AT1" s="1273"/>
      <c r="AU1" s="1273"/>
      <c r="AV1" s="1273"/>
      <c r="AW1" s="1273"/>
      <c r="AX1" s="1273"/>
      <c r="AY1" s="1273"/>
      <c r="AZ1" s="1273"/>
    </row>
    <row r="2" spans="1:56" ht="18" thickBot="1" x14ac:dyDescent="0.25">
      <c r="A2" s="566" t="s">
        <v>377</v>
      </c>
      <c r="B2" s="567"/>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9"/>
      <c r="AC2" s="569"/>
      <c r="AD2" s="569"/>
      <c r="AE2" s="569"/>
      <c r="AF2" s="568"/>
      <c r="AG2" s="29"/>
      <c r="AH2" s="568"/>
      <c r="AI2" s="568"/>
      <c r="AJ2" s="568"/>
      <c r="AK2" s="568"/>
      <c r="AL2" s="568"/>
      <c r="AM2" s="568"/>
      <c r="AN2" s="568"/>
      <c r="AO2" s="568"/>
      <c r="AP2" s="568"/>
      <c r="AQ2" s="1305" t="s">
        <v>345</v>
      </c>
      <c r="AR2" s="1305"/>
      <c r="AS2" s="1305"/>
      <c r="AT2" s="1305"/>
      <c r="AU2" s="1305"/>
      <c r="AV2" s="1305"/>
      <c r="AW2" s="1305"/>
      <c r="AX2" s="1305"/>
      <c r="AY2" s="1305"/>
      <c r="AZ2" s="1305"/>
      <c r="BA2" s="553"/>
    </row>
    <row r="3" spans="1:56" ht="9.75" customHeight="1" x14ac:dyDescent="0.15">
      <c r="A3" s="570"/>
      <c r="B3" s="571"/>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72"/>
      <c r="AC3" s="572"/>
      <c r="AD3" s="572"/>
      <c r="AE3" s="572"/>
      <c r="AF3" s="572"/>
      <c r="AG3" s="572"/>
      <c r="AH3" s="569"/>
      <c r="AI3" s="569"/>
      <c r="AJ3" s="569"/>
      <c r="AK3" s="569"/>
      <c r="AL3" s="569"/>
      <c r="AM3" s="569"/>
      <c r="AN3" s="569"/>
      <c r="AO3" s="569"/>
      <c r="AP3" s="569"/>
      <c r="AQ3" s="569"/>
      <c r="AR3" s="569"/>
      <c r="AS3" s="569"/>
      <c r="AT3" s="569"/>
      <c r="AU3" s="569"/>
      <c r="AV3" s="569"/>
      <c r="AW3" s="569"/>
      <c r="AX3" s="569"/>
      <c r="AY3" s="569"/>
      <c r="AZ3" s="569"/>
      <c r="BA3" s="554"/>
    </row>
    <row r="4" spans="1:56" ht="17.25" customHeight="1" x14ac:dyDescent="0.15">
      <c r="A4" s="573" t="s">
        <v>336</v>
      </c>
      <c r="B4" s="574"/>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c r="AW4" s="575"/>
      <c r="AX4" s="575"/>
      <c r="AY4" s="575"/>
      <c r="AZ4" s="575"/>
      <c r="BA4" s="555"/>
    </row>
    <row r="5" spans="1:56" ht="9" customHeight="1" x14ac:dyDescent="0.15">
      <c r="A5" s="29"/>
      <c r="B5" s="576"/>
      <c r="C5" s="577"/>
      <c r="D5" s="577"/>
      <c r="E5" s="577"/>
      <c r="F5" s="577"/>
      <c r="G5" s="577"/>
      <c r="H5" s="32"/>
      <c r="I5" s="32"/>
      <c r="J5" s="32"/>
      <c r="K5" s="32"/>
      <c r="L5" s="32"/>
      <c r="M5" s="29"/>
      <c r="N5" s="29"/>
      <c r="O5" s="578"/>
      <c r="P5" s="578"/>
      <c r="Q5" s="578"/>
      <c r="R5" s="578"/>
      <c r="S5" s="29"/>
      <c r="T5" s="29"/>
      <c r="U5" s="32"/>
      <c r="V5" s="32"/>
      <c r="W5" s="32"/>
      <c r="X5" s="32"/>
      <c r="Y5" s="32"/>
      <c r="Z5" s="29"/>
      <c r="AA5" s="29"/>
      <c r="AB5" s="29"/>
      <c r="AC5" s="29"/>
      <c r="AD5" s="29"/>
      <c r="AE5" s="29"/>
      <c r="AF5" s="29"/>
      <c r="AG5" s="29"/>
      <c r="AH5" s="29"/>
      <c r="AI5" s="29"/>
      <c r="AJ5" s="29"/>
      <c r="AK5" s="29"/>
      <c r="AL5" s="565"/>
      <c r="AM5" s="565"/>
      <c r="AN5" s="565"/>
      <c r="AO5" s="565"/>
      <c r="AP5" s="29"/>
      <c r="AQ5" s="29"/>
      <c r="AR5" s="29"/>
      <c r="AS5" s="29"/>
      <c r="AT5" s="29"/>
      <c r="AU5" s="29"/>
      <c r="AV5" s="29"/>
      <c r="AW5" s="29"/>
      <c r="AX5" s="29"/>
      <c r="AY5" s="29"/>
      <c r="AZ5" s="29"/>
    </row>
    <row r="6" spans="1:56" x14ac:dyDescent="0.15">
      <c r="A6" s="569"/>
      <c r="B6" s="579"/>
      <c r="C6" s="580" t="s">
        <v>346</v>
      </c>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1"/>
      <c r="AH6" s="582"/>
      <c r="AI6" s="582"/>
      <c r="AJ6" s="582"/>
      <c r="AK6" s="582"/>
      <c r="AL6" s="583"/>
      <c r="AM6" s="583"/>
      <c r="AN6" s="583"/>
      <c r="AO6" s="583"/>
      <c r="AP6" s="582"/>
      <c r="AQ6" s="582"/>
      <c r="AR6" s="582"/>
      <c r="AS6" s="583"/>
      <c r="AT6" s="583"/>
      <c r="AU6" s="582"/>
      <c r="AV6" s="582"/>
      <c r="AW6" s="582"/>
      <c r="AX6" s="582"/>
      <c r="AY6" s="584"/>
      <c r="AZ6" s="29"/>
    </row>
    <row r="7" spans="1:56" x14ac:dyDescent="0.15">
      <c r="A7" s="569"/>
      <c r="B7" s="585"/>
      <c r="C7" s="586" t="s">
        <v>231</v>
      </c>
      <c r="D7" s="586"/>
      <c r="E7" s="586"/>
      <c r="F7" s="586"/>
      <c r="G7" s="586"/>
      <c r="H7" s="586"/>
      <c r="I7" s="586"/>
      <c r="J7" s="586"/>
      <c r="K7" s="586"/>
      <c r="L7" s="586"/>
      <c r="M7" s="586"/>
      <c r="N7" s="586"/>
      <c r="O7" s="586"/>
      <c r="P7" s="586"/>
      <c r="Q7" s="586"/>
      <c r="R7" s="586"/>
      <c r="S7" s="586"/>
      <c r="T7" s="586"/>
      <c r="U7" s="586"/>
      <c r="V7" s="586"/>
      <c r="W7" s="586"/>
      <c r="X7" s="586"/>
      <c r="Y7" s="586"/>
      <c r="Z7" s="586"/>
      <c r="AA7" s="586"/>
      <c r="AB7" s="586"/>
      <c r="AC7" s="586"/>
      <c r="AD7" s="586"/>
      <c r="AE7" s="586"/>
      <c r="AF7" s="586"/>
      <c r="AG7" s="587"/>
      <c r="AH7" s="588"/>
      <c r="AI7" s="588"/>
      <c r="AJ7" s="588"/>
      <c r="AK7" s="588"/>
      <c r="AL7" s="589"/>
      <c r="AM7" s="589"/>
      <c r="AN7" s="589"/>
      <c r="AO7" s="589"/>
      <c r="AP7" s="588"/>
      <c r="AQ7" s="588"/>
      <c r="AR7" s="588"/>
      <c r="AS7" s="589"/>
      <c r="AT7" s="589"/>
      <c r="AU7" s="588"/>
      <c r="AV7" s="588"/>
      <c r="AW7" s="588"/>
      <c r="AX7" s="588"/>
      <c r="AY7" s="590"/>
      <c r="AZ7" s="29"/>
    </row>
    <row r="8" spans="1:56" ht="4.5" customHeight="1" x14ac:dyDescent="0.15">
      <c r="A8" s="569"/>
      <c r="B8" s="569"/>
      <c r="C8" s="569"/>
      <c r="D8" s="569"/>
      <c r="E8" s="569"/>
      <c r="F8" s="569"/>
      <c r="G8" s="569"/>
      <c r="H8" s="569"/>
      <c r="I8" s="569"/>
      <c r="J8" s="569"/>
      <c r="K8" s="569"/>
      <c r="L8" s="569"/>
      <c r="M8" s="569"/>
      <c r="N8" s="591"/>
      <c r="O8" s="569"/>
      <c r="P8" s="569"/>
      <c r="Q8" s="569"/>
      <c r="R8" s="569"/>
      <c r="S8" s="569"/>
      <c r="T8" s="569"/>
      <c r="U8" s="569"/>
      <c r="V8" s="569"/>
      <c r="W8" s="569"/>
      <c r="X8" s="569"/>
      <c r="Y8" s="569"/>
      <c r="Z8" s="569"/>
      <c r="AA8" s="569"/>
      <c r="AB8" s="569"/>
      <c r="AC8" s="569"/>
      <c r="AD8" s="569"/>
      <c r="AE8" s="569"/>
      <c r="AF8" s="569"/>
      <c r="AG8" s="569"/>
      <c r="AH8" s="569"/>
      <c r="AI8" s="569"/>
      <c r="AJ8" s="569"/>
      <c r="AK8" s="29"/>
      <c r="AL8" s="565"/>
      <c r="AM8" s="565"/>
      <c r="AN8" s="565"/>
      <c r="AO8" s="565"/>
      <c r="AP8" s="29"/>
      <c r="AQ8" s="29"/>
      <c r="AR8" s="29"/>
      <c r="AS8" s="29"/>
      <c r="AT8" s="29"/>
      <c r="AU8" s="29"/>
      <c r="AV8" s="29"/>
      <c r="AW8" s="29"/>
      <c r="AX8" s="29"/>
      <c r="AY8" s="29"/>
      <c r="AZ8" s="29"/>
    </row>
    <row r="9" spans="1:56" ht="12" customHeight="1" thickBot="1" x14ac:dyDescent="0.2">
      <c r="A9" s="569"/>
      <c r="B9" s="592" t="s">
        <v>354</v>
      </c>
      <c r="C9" s="592"/>
      <c r="D9" s="569"/>
      <c r="E9" s="569"/>
      <c r="F9" s="569"/>
      <c r="G9" s="569"/>
      <c r="H9" s="569"/>
      <c r="I9" s="569"/>
      <c r="J9" s="569"/>
      <c r="K9" s="569"/>
      <c r="L9" s="569"/>
      <c r="M9" s="569"/>
      <c r="N9" s="569"/>
      <c r="O9" s="569"/>
      <c r="P9" s="569"/>
      <c r="Q9" s="569"/>
      <c r="R9" s="569"/>
      <c r="S9" s="569"/>
      <c r="T9" s="569"/>
      <c r="U9" s="569"/>
      <c r="V9" s="569"/>
      <c r="W9" s="569"/>
      <c r="X9" s="569"/>
      <c r="Y9" s="569"/>
      <c r="Z9" s="569"/>
      <c r="AA9" s="29"/>
      <c r="AB9" s="569"/>
      <c r="AC9" s="569"/>
      <c r="AD9" s="569"/>
      <c r="AE9" s="569"/>
      <c r="AF9" s="569"/>
      <c r="AG9" s="569"/>
      <c r="AH9" s="569"/>
      <c r="AI9" s="569"/>
      <c r="AJ9" s="29"/>
      <c r="AK9" s="593"/>
      <c r="AL9" s="593"/>
      <c r="AM9" s="593"/>
      <c r="AN9" s="593"/>
      <c r="AO9" s="593"/>
      <c r="AP9" s="29"/>
      <c r="AQ9" s="565"/>
      <c r="AR9" s="565"/>
      <c r="AS9" s="565"/>
      <c r="AT9" s="565"/>
      <c r="AU9" s="29"/>
      <c r="AV9" s="29"/>
      <c r="AW9" s="29"/>
      <c r="AX9" s="29"/>
      <c r="AY9" s="593" t="s">
        <v>232</v>
      </c>
      <c r="AZ9" s="29"/>
    </row>
    <row r="10" spans="1:56" ht="12.95" customHeight="1" x14ac:dyDescent="0.15">
      <c r="A10" s="29"/>
      <c r="B10" s="594"/>
      <c r="C10" s="1274" t="s">
        <v>233</v>
      </c>
      <c r="D10" s="1275"/>
      <c r="E10" s="1275"/>
      <c r="F10" s="1275"/>
      <c r="G10" s="1275"/>
      <c r="H10" s="1275"/>
      <c r="I10" s="595"/>
      <c r="J10" s="1276">
        <v>5000</v>
      </c>
      <c r="K10" s="1277"/>
      <c r="L10" s="1277"/>
      <c r="M10" s="1277"/>
      <c r="N10" s="1278"/>
      <c r="O10" s="1276">
        <v>7500</v>
      </c>
      <c r="P10" s="1277"/>
      <c r="Q10" s="1277"/>
      <c r="R10" s="1277"/>
      <c r="S10" s="1277"/>
      <c r="T10" s="596"/>
      <c r="U10" s="1282" t="e">
        <f>P69</f>
        <v>#REF!</v>
      </c>
      <c r="V10" s="1282"/>
      <c r="W10" s="1282"/>
      <c r="X10" s="1282"/>
      <c r="Y10" s="1284" t="s">
        <v>234</v>
      </c>
      <c r="Z10" s="1284"/>
      <c r="AA10" s="597"/>
      <c r="AB10" s="598"/>
      <c r="AC10" s="1286" t="s">
        <v>355</v>
      </c>
      <c r="AD10" s="1287"/>
      <c r="AE10" s="1288"/>
      <c r="AF10" s="1286" t="s">
        <v>235</v>
      </c>
      <c r="AG10" s="1287"/>
      <c r="AH10" s="1287"/>
      <c r="AI10" s="1287"/>
      <c r="AJ10" s="1288"/>
      <c r="AK10" s="1292" t="s">
        <v>337</v>
      </c>
      <c r="AL10" s="1293"/>
      <c r="AM10" s="1293"/>
      <c r="AN10" s="1293"/>
      <c r="AO10" s="1294"/>
      <c r="AP10" s="1295"/>
      <c r="AQ10" s="1293"/>
      <c r="AR10" s="1293"/>
      <c r="AS10" s="1293"/>
      <c r="AT10" s="1296"/>
      <c r="AU10" s="1292"/>
      <c r="AV10" s="1293"/>
      <c r="AW10" s="1293"/>
      <c r="AX10" s="1293"/>
      <c r="AY10" s="1296"/>
      <c r="AZ10" s="29"/>
    </row>
    <row r="11" spans="1:56" ht="12.95" customHeight="1" x14ac:dyDescent="0.15">
      <c r="A11" s="29"/>
      <c r="B11" s="599"/>
      <c r="C11" s="1297" t="s">
        <v>236</v>
      </c>
      <c r="D11" s="1297"/>
      <c r="E11" s="1297"/>
      <c r="F11" s="1297"/>
      <c r="G11" s="1297"/>
      <c r="H11" s="1297"/>
      <c r="I11" s="601"/>
      <c r="J11" s="1279"/>
      <c r="K11" s="1280"/>
      <c r="L11" s="1280"/>
      <c r="M11" s="1280"/>
      <c r="N11" s="1281"/>
      <c r="O11" s="1279"/>
      <c r="P11" s="1280"/>
      <c r="Q11" s="1280"/>
      <c r="R11" s="1280"/>
      <c r="S11" s="1280"/>
      <c r="T11" s="602"/>
      <c r="U11" s="1283"/>
      <c r="V11" s="1283"/>
      <c r="W11" s="1283"/>
      <c r="X11" s="1283"/>
      <c r="Y11" s="1285"/>
      <c r="Z11" s="1285"/>
      <c r="AA11" s="603"/>
      <c r="AB11" s="598"/>
      <c r="AC11" s="1289"/>
      <c r="AD11" s="1290"/>
      <c r="AE11" s="1291"/>
      <c r="AF11" s="1289"/>
      <c r="AG11" s="1290"/>
      <c r="AH11" s="1290"/>
      <c r="AI11" s="1290"/>
      <c r="AJ11" s="1291"/>
      <c r="AK11" s="1298" t="s">
        <v>381</v>
      </c>
      <c r="AL11" s="1299"/>
      <c r="AM11" s="1299"/>
      <c r="AN11" s="1299"/>
      <c r="AO11" s="1300"/>
      <c r="AP11" s="1301"/>
      <c r="AQ11" s="1302"/>
      <c r="AR11" s="1302"/>
      <c r="AS11" s="1302"/>
      <c r="AT11" s="1303"/>
      <c r="AU11" s="1304"/>
      <c r="AV11" s="1302"/>
      <c r="AW11" s="1302"/>
      <c r="AX11" s="1302"/>
      <c r="AY11" s="1303"/>
      <c r="AZ11" s="29"/>
    </row>
    <row r="12" spans="1:56" ht="12.95" customHeight="1" x14ac:dyDescent="0.15">
      <c r="A12" s="29"/>
      <c r="B12" s="1286" t="s">
        <v>237</v>
      </c>
      <c r="C12" s="1318"/>
      <c r="D12" s="1319"/>
      <c r="E12" s="1286" t="s">
        <v>238</v>
      </c>
      <c r="F12" s="1319"/>
      <c r="G12" s="1312" t="s">
        <v>239</v>
      </c>
      <c r="H12" s="1287"/>
      <c r="I12" s="1288"/>
      <c r="J12" s="270"/>
      <c r="K12" s="1313">
        <v>1200</v>
      </c>
      <c r="L12" s="1313"/>
      <c r="M12" s="1313"/>
      <c r="N12" s="263"/>
      <c r="O12" s="270"/>
      <c r="P12" s="1313">
        <v>1700</v>
      </c>
      <c r="Q12" s="1313"/>
      <c r="R12" s="1313"/>
      <c r="S12" s="262"/>
      <c r="T12" s="604"/>
      <c r="U12" s="605"/>
      <c r="V12" s="1251" t="e">
        <f>IF(U10="-","-",ROUNDDOWN(K12-(($U10-$J10)*((K12-P12)/($O10-$J10))),0))</f>
        <v>#REF!</v>
      </c>
      <c r="W12" s="1251"/>
      <c r="X12" s="1251"/>
      <c r="Y12" s="1251"/>
      <c r="Z12" s="605"/>
      <c r="AA12" s="606"/>
      <c r="AB12" s="598"/>
      <c r="AC12" s="1253">
        <v>1</v>
      </c>
      <c r="AD12" s="1254"/>
      <c r="AE12" s="1255"/>
      <c r="AF12" s="1316" t="e">
        <f>IF(AC12="-","-",V12*AC12)</f>
        <v>#REF!</v>
      </c>
      <c r="AG12" s="1264"/>
      <c r="AH12" s="1264"/>
      <c r="AI12" s="1264"/>
      <c r="AJ12" s="1265"/>
      <c r="AK12" s="1306">
        <v>0.95</v>
      </c>
      <c r="AL12" s="1307"/>
      <c r="AM12" s="1264" t="e">
        <f>ROUND(AF12*AK12,0)</f>
        <v>#REF!</v>
      </c>
      <c r="AN12" s="1264"/>
      <c r="AO12" s="1310"/>
      <c r="AP12" s="1259"/>
      <c r="AQ12" s="1260"/>
      <c r="AR12" s="1263"/>
      <c r="AS12" s="1264"/>
      <c r="AT12" s="1265"/>
      <c r="AU12" s="1269"/>
      <c r="AV12" s="1260"/>
      <c r="AW12" s="1263"/>
      <c r="AX12" s="1264"/>
      <c r="AY12" s="1265"/>
      <c r="AZ12" s="29"/>
      <c r="BA12" s="1271">
        <f>AR12+AW12</f>
        <v>0</v>
      </c>
      <c r="BB12" s="1272"/>
      <c r="BC12" s="1272"/>
      <c r="BD12" s="1272"/>
    </row>
    <row r="13" spans="1:56" ht="12.95" customHeight="1" x14ac:dyDescent="0.15">
      <c r="A13" s="29"/>
      <c r="B13" s="1320"/>
      <c r="C13" s="1179"/>
      <c r="D13" s="1321"/>
      <c r="E13" s="1320"/>
      <c r="F13" s="1321"/>
      <c r="G13" s="1289"/>
      <c r="H13" s="1290"/>
      <c r="I13" s="1291"/>
      <c r="J13" s="132"/>
      <c r="K13" s="1314"/>
      <c r="L13" s="1314"/>
      <c r="M13" s="1314"/>
      <c r="N13" s="608"/>
      <c r="O13" s="132"/>
      <c r="P13" s="1314"/>
      <c r="Q13" s="1314"/>
      <c r="R13" s="1314"/>
      <c r="S13" s="609"/>
      <c r="T13" s="602"/>
      <c r="U13" s="587"/>
      <c r="V13" s="1252"/>
      <c r="W13" s="1252"/>
      <c r="X13" s="1252"/>
      <c r="Y13" s="1252"/>
      <c r="Z13" s="587"/>
      <c r="AA13" s="603"/>
      <c r="AB13" s="598"/>
      <c r="AC13" s="1256"/>
      <c r="AD13" s="1257"/>
      <c r="AE13" s="1258"/>
      <c r="AF13" s="1317"/>
      <c r="AG13" s="1267"/>
      <c r="AH13" s="1267"/>
      <c r="AI13" s="1267"/>
      <c r="AJ13" s="1268"/>
      <c r="AK13" s="1308"/>
      <c r="AL13" s="1309"/>
      <c r="AM13" s="1267"/>
      <c r="AN13" s="1267"/>
      <c r="AO13" s="1311"/>
      <c r="AP13" s="1261"/>
      <c r="AQ13" s="1262"/>
      <c r="AR13" s="1266"/>
      <c r="AS13" s="1267"/>
      <c r="AT13" s="1268"/>
      <c r="AU13" s="1270"/>
      <c r="AV13" s="1262"/>
      <c r="AW13" s="1266"/>
      <c r="AX13" s="1267"/>
      <c r="AY13" s="1268"/>
      <c r="AZ13" s="29"/>
      <c r="BA13" s="1272"/>
      <c r="BB13" s="1272"/>
      <c r="BC13" s="1272"/>
      <c r="BD13" s="1272"/>
    </row>
    <row r="14" spans="1:56" ht="12.95" customHeight="1" x14ac:dyDescent="0.15">
      <c r="A14" s="29"/>
      <c r="B14" s="1320"/>
      <c r="C14" s="1179"/>
      <c r="D14" s="1321"/>
      <c r="E14" s="1320"/>
      <c r="F14" s="1321"/>
      <c r="G14" s="1312" t="s">
        <v>117</v>
      </c>
      <c r="H14" s="1287"/>
      <c r="I14" s="1288"/>
      <c r="J14" s="270"/>
      <c r="K14" s="1313">
        <v>380</v>
      </c>
      <c r="L14" s="1313"/>
      <c r="M14" s="1313"/>
      <c r="N14" s="263"/>
      <c r="O14" s="270"/>
      <c r="P14" s="1313">
        <v>560</v>
      </c>
      <c r="Q14" s="1313"/>
      <c r="R14" s="1313"/>
      <c r="S14" s="262"/>
      <c r="T14" s="604"/>
      <c r="U14" s="605"/>
      <c r="V14" s="1251" t="e">
        <f>IF(U10="-","-",ROUNDDOWN(K14-(($U10-$J10)*((K14-P14)/($O10-$J10))),0))</f>
        <v>#REF!</v>
      </c>
      <c r="W14" s="1251"/>
      <c r="X14" s="1251"/>
      <c r="Y14" s="1251"/>
      <c r="Z14" s="605"/>
      <c r="AA14" s="606"/>
      <c r="AB14" s="598"/>
      <c r="AC14" s="1253">
        <v>1</v>
      </c>
      <c r="AD14" s="1254"/>
      <c r="AE14" s="1255"/>
      <c r="AF14" s="1325" t="e">
        <f>IF(AC14="-","-",V14*AC14)</f>
        <v>#REF!</v>
      </c>
      <c r="AG14" s="1325"/>
      <c r="AH14" s="1325"/>
      <c r="AI14" s="1325"/>
      <c r="AJ14" s="1325"/>
      <c r="AK14" s="1306">
        <v>0.75</v>
      </c>
      <c r="AL14" s="1307"/>
      <c r="AM14" s="1264" t="e">
        <f>ROUND(AF14*AK14,0)</f>
        <v>#REF!</v>
      </c>
      <c r="AN14" s="1264"/>
      <c r="AO14" s="1310"/>
      <c r="AP14" s="1259"/>
      <c r="AQ14" s="1260"/>
      <c r="AR14" s="1263"/>
      <c r="AS14" s="1264"/>
      <c r="AT14" s="1265"/>
      <c r="AU14" s="1269"/>
      <c r="AV14" s="1260"/>
      <c r="AW14" s="1263"/>
      <c r="AX14" s="1264"/>
      <c r="AY14" s="1265"/>
      <c r="AZ14" s="29"/>
      <c r="BA14" s="1271">
        <f>AR14+AW14</f>
        <v>0</v>
      </c>
      <c r="BB14" s="1272"/>
      <c r="BC14" s="1272"/>
      <c r="BD14" s="1272"/>
    </row>
    <row r="15" spans="1:56" ht="12.95" customHeight="1" x14ac:dyDescent="0.15">
      <c r="A15" s="29"/>
      <c r="B15" s="1320"/>
      <c r="C15" s="1179"/>
      <c r="D15" s="1321"/>
      <c r="E15" s="1320"/>
      <c r="F15" s="1321"/>
      <c r="G15" s="1289"/>
      <c r="H15" s="1290"/>
      <c r="I15" s="1291"/>
      <c r="J15" s="132"/>
      <c r="K15" s="1314"/>
      <c r="L15" s="1314"/>
      <c r="M15" s="1314"/>
      <c r="N15" s="608"/>
      <c r="O15" s="132"/>
      <c r="P15" s="1314"/>
      <c r="Q15" s="1314"/>
      <c r="R15" s="1314"/>
      <c r="S15" s="609"/>
      <c r="T15" s="602"/>
      <c r="U15" s="587"/>
      <c r="V15" s="1252"/>
      <c r="W15" s="1252"/>
      <c r="X15" s="1252"/>
      <c r="Y15" s="1252"/>
      <c r="Z15" s="587"/>
      <c r="AA15" s="603"/>
      <c r="AB15" s="598"/>
      <c r="AC15" s="1256"/>
      <c r="AD15" s="1257"/>
      <c r="AE15" s="1258"/>
      <c r="AF15" s="1325"/>
      <c r="AG15" s="1325"/>
      <c r="AH15" s="1325"/>
      <c r="AI15" s="1325"/>
      <c r="AJ15" s="1325"/>
      <c r="AK15" s="1308"/>
      <c r="AL15" s="1309"/>
      <c r="AM15" s="1267"/>
      <c r="AN15" s="1267"/>
      <c r="AO15" s="1311"/>
      <c r="AP15" s="1261"/>
      <c r="AQ15" s="1262"/>
      <c r="AR15" s="1266"/>
      <c r="AS15" s="1267"/>
      <c r="AT15" s="1268"/>
      <c r="AU15" s="1270"/>
      <c r="AV15" s="1262"/>
      <c r="AW15" s="1266"/>
      <c r="AX15" s="1267"/>
      <c r="AY15" s="1268"/>
      <c r="AZ15" s="29"/>
      <c r="BA15" s="1272"/>
      <c r="BB15" s="1272"/>
      <c r="BC15" s="1272"/>
      <c r="BD15" s="1272"/>
    </row>
    <row r="16" spans="1:56" ht="12.95" customHeight="1" x14ac:dyDescent="0.15">
      <c r="A16" s="29"/>
      <c r="B16" s="1320"/>
      <c r="C16" s="1179"/>
      <c r="D16" s="1321"/>
      <c r="E16" s="1320"/>
      <c r="F16" s="1321"/>
      <c r="G16" s="1312" t="s">
        <v>240</v>
      </c>
      <c r="H16" s="1287"/>
      <c r="I16" s="1288"/>
      <c r="J16" s="270"/>
      <c r="K16" s="1313">
        <v>390</v>
      </c>
      <c r="L16" s="1313"/>
      <c r="M16" s="1313"/>
      <c r="N16" s="263"/>
      <c r="O16" s="270"/>
      <c r="P16" s="1313">
        <v>580</v>
      </c>
      <c r="Q16" s="1313"/>
      <c r="R16" s="1313"/>
      <c r="S16" s="262"/>
      <c r="T16" s="604"/>
      <c r="U16" s="605"/>
      <c r="V16" s="1251" t="e">
        <f>IF(U10="-","-",ROUNDDOWN(K16-(($U10-$J10)*((K16-P16)/($O10-$J10))),0))</f>
        <v>#REF!</v>
      </c>
      <c r="W16" s="1251"/>
      <c r="X16" s="1251"/>
      <c r="Y16" s="1251"/>
      <c r="Z16" s="605"/>
      <c r="AA16" s="606"/>
      <c r="AB16" s="598"/>
      <c r="AC16" s="1253">
        <v>1</v>
      </c>
      <c r="AD16" s="1254"/>
      <c r="AE16" s="1255"/>
      <c r="AF16" s="1325" t="e">
        <f>IF(AC16="-","-",V16*AC16)</f>
        <v>#REF!</v>
      </c>
      <c r="AG16" s="1325"/>
      <c r="AH16" s="1325"/>
      <c r="AI16" s="1325"/>
      <c r="AJ16" s="1325"/>
      <c r="AK16" s="1306">
        <v>0.8</v>
      </c>
      <c r="AL16" s="1307"/>
      <c r="AM16" s="1264" t="e">
        <f>ROUND(AF16*AK16,0)</f>
        <v>#REF!</v>
      </c>
      <c r="AN16" s="1264"/>
      <c r="AO16" s="1310"/>
      <c r="AP16" s="1259"/>
      <c r="AQ16" s="1260"/>
      <c r="AR16" s="1263"/>
      <c r="AS16" s="1264"/>
      <c r="AT16" s="1265"/>
      <c r="AU16" s="1269"/>
      <c r="AV16" s="1260"/>
      <c r="AW16" s="1263"/>
      <c r="AX16" s="1264"/>
      <c r="AY16" s="1265"/>
      <c r="AZ16" s="29"/>
      <c r="BA16" s="1271">
        <f>AR16+AW16</f>
        <v>0</v>
      </c>
      <c r="BB16" s="1272"/>
      <c r="BC16" s="1272"/>
      <c r="BD16" s="1272"/>
    </row>
    <row r="17" spans="1:56" ht="12.95" customHeight="1" x14ac:dyDescent="0.15">
      <c r="A17" s="29"/>
      <c r="B17" s="1322"/>
      <c r="C17" s="1323"/>
      <c r="D17" s="1324"/>
      <c r="E17" s="1322"/>
      <c r="F17" s="1324"/>
      <c r="G17" s="1289"/>
      <c r="H17" s="1290"/>
      <c r="I17" s="1291"/>
      <c r="J17" s="132"/>
      <c r="K17" s="1314"/>
      <c r="L17" s="1314"/>
      <c r="M17" s="1314"/>
      <c r="N17" s="608"/>
      <c r="O17" s="132"/>
      <c r="P17" s="1314"/>
      <c r="Q17" s="1314"/>
      <c r="R17" s="1314"/>
      <c r="S17" s="609"/>
      <c r="T17" s="602"/>
      <c r="U17" s="587"/>
      <c r="V17" s="1252"/>
      <c r="W17" s="1252"/>
      <c r="X17" s="1252"/>
      <c r="Y17" s="1252"/>
      <c r="Z17" s="587"/>
      <c r="AA17" s="603"/>
      <c r="AB17" s="598"/>
      <c r="AC17" s="1256"/>
      <c r="AD17" s="1257"/>
      <c r="AE17" s="1258"/>
      <c r="AF17" s="1325"/>
      <c r="AG17" s="1325"/>
      <c r="AH17" s="1325"/>
      <c r="AI17" s="1325"/>
      <c r="AJ17" s="1325"/>
      <c r="AK17" s="1308"/>
      <c r="AL17" s="1309"/>
      <c r="AM17" s="1267"/>
      <c r="AN17" s="1267"/>
      <c r="AO17" s="1311"/>
      <c r="AP17" s="1261"/>
      <c r="AQ17" s="1262"/>
      <c r="AR17" s="1266"/>
      <c r="AS17" s="1267"/>
      <c r="AT17" s="1268"/>
      <c r="AU17" s="1270"/>
      <c r="AV17" s="1262"/>
      <c r="AW17" s="1266"/>
      <c r="AX17" s="1267"/>
      <c r="AY17" s="1268"/>
      <c r="AZ17" s="29"/>
      <c r="BA17" s="1272"/>
      <c r="BB17" s="1272"/>
      <c r="BC17" s="1272"/>
      <c r="BD17" s="1272"/>
    </row>
    <row r="18" spans="1:56" ht="12.95" customHeight="1" x14ac:dyDescent="0.15">
      <c r="A18" s="29"/>
      <c r="B18" s="1312" t="s">
        <v>31</v>
      </c>
      <c r="C18" s="1287"/>
      <c r="D18" s="1287"/>
      <c r="E18" s="1287"/>
      <c r="F18" s="1287"/>
      <c r="G18" s="1287"/>
      <c r="H18" s="1287"/>
      <c r="I18" s="1288"/>
      <c r="J18" s="270"/>
      <c r="K18" s="1313">
        <f>SUM(K12:M17)</f>
        <v>1970</v>
      </c>
      <c r="L18" s="1313"/>
      <c r="M18" s="1313"/>
      <c r="N18" s="263"/>
      <c r="O18" s="270"/>
      <c r="P18" s="1313">
        <f>SUM(P12:R17)</f>
        <v>2840</v>
      </c>
      <c r="Q18" s="1313"/>
      <c r="R18" s="1313"/>
      <c r="S18" s="262"/>
      <c r="T18" s="604"/>
      <c r="U18" s="605"/>
      <c r="V18" s="1251" t="e">
        <f>SUM(V12:Y17)</f>
        <v>#REF!</v>
      </c>
      <c r="W18" s="1251"/>
      <c r="X18" s="1251"/>
      <c r="Y18" s="1251"/>
      <c r="Z18" s="605"/>
      <c r="AA18" s="606"/>
      <c r="AB18" s="598"/>
      <c r="AC18" s="1312" t="s">
        <v>74</v>
      </c>
      <c r="AD18" s="1287"/>
      <c r="AE18" s="1288"/>
      <c r="AF18" s="1316" t="e">
        <f>SUM(AF12:AJ17)</f>
        <v>#REF!</v>
      </c>
      <c r="AG18" s="1264"/>
      <c r="AH18" s="1264"/>
      <c r="AI18" s="1264"/>
      <c r="AJ18" s="1265"/>
      <c r="AK18" s="1316" t="e">
        <f>SUM(AM12:AO17)</f>
        <v>#REF!</v>
      </c>
      <c r="AL18" s="1264"/>
      <c r="AM18" s="1264"/>
      <c r="AN18" s="1264"/>
      <c r="AO18" s="1310"/>
      <c r="AP18" s="1326"/>
      <c r="AQ18" s="1264"/>
      <c r="AR18" s="1264"/>
      <c r="AS18" s="1264"/>
      <c r="AT18" s="1265"/>
      <c r="AU18" s="1316"/>
      <c r="AV18" s="1264"/>
      <c r="AW18" s="1264"/>
      <c r="AX18" s="1264"/>
      <c r="AY18" s="1265"/>
      <c r="AZ18" s="29"/>
      <c r="BA18" s="1271">
        <f>AP18+AU18</f>
        <v>0</v>
      </c>
      <c r="BB18" s="1272"/>
      <c r="BC18" s="1272"/>
      <c r="BD18" s="1272"/>
    </row>
    <row r="19" spans="1:56" ht="12.95" customHeight="1" thickBot="1" x14ac:dyDescent="0.2">
      <c r="A19" s="29"/>
      <c r="B19" s="1289"/>
      <c r="C19" s="1290"/>
      <c r="D19" s="1290"/>
      <c r="E19" s="1290"/>
      <c r="F19" s="1290"/>
      <c r="G19" s="1290"/>
      <c r="H19" s="1290"/>
      <c r="I19" s="1291"/>
      <c r="J19" s="132"/>
      <c r="K19" s="1314"/>
      <c r="L19" s="1314"/>
      <c r="M19" s="1314"/>
      <c r="N19" s="608"/>
      <c r="O19" s="132"/>
      <c r="P19" s="1314"/>
      <c r="Q19" s="1314"/>
      <c r="R19" s="1314"/>
      <c r="S19" s="609"/>
      <c r="T19" s="610"/>
      <c r="U19" s="611"/>
      <c r="V19" s="1315"/>
      <c r="W19" s="1315"/>
      <c r="X19" s="1315"/>
      <c r="Y19" s="1315"/>
      <c r="Z19" s="611"/>
      <c r="AA19" s="612"/>
      <c r="AB19" s="598"/>
      <c r="AC19" s="1289"/>
      <c r="AD19" s="1290"/>
      <c r="AE19" s="1291"/>
      <c r="AF19" s="1317"/>
      <c r="AG19" s="1267"/>
      <c r="AH19" s="1267"/>
      <c r="AI19" s="1267"/>
      <c r="AJ19" s="1268"/>
      <c r="AK19" s="1317"/>
      <c r="AL19" s="1267"/>
      <c r="AM19" s="1267"/>
      <c r="AN19" s="1267"/>
      <c r="AO19" s="1311"/>
      <c r="AP19" s="1327"/>
      <c r="AQ19" s="1267"/>
      <c r="AR19" s="1267"/>
      <c r="AS19" s="1267"/>
      <c r="AT19" s="1268"/>
      <c r="AU19" s="1317"/>
      <c r="AV19" s="1267"/>
      <c r="AW19" s="1267"/>
      <c r="AX19" s="1267"/>
      <c r="AY19" s="1268"/>
      <c r="AZ19" s="29"/>
      <c r="BA19" s="1272"/>
      <c r="BB19" s="1272"/>
      <c r="BC19" s="1272"/>
      <c r="BD19" s="1272"/>
    </row>
    <row r="20" spans="1:56" ht="12.95" customHeight="1" x14ac:dyDescent="0.15">
      <c r="A20" s="29"/>
      <c r="B20" s="613"/>
      <c r="C20" s="613"/>
      <c r="D20" s="613"/>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3"/>
      <c r="AI20" s="613"/>
      <c r="AJ20" s="613"/>
      <c r="AK20" s="613"/>
      <c r="AL20" s="613"/>
      <c r="AM20" s="613"/>
      <c r="AN20" s="613"/>
      <c r="AO20" s="613"/>
      <c r="AP20" s="29"/>
      <c r="AQ20" s="565"/>
      <c r="AR20" s="565"/>
      <c r="AS20" s="565"/>
      <c r="AT20" s="565"/>
      <c r="AU20" s="29"/>
      <c r="AV20" s="29"/>
      <c r="AW20" s="29"/>
      <c r="AX20" s="29"/>
      <c r="AY20" s="29"/>
      <c r="AZ20" s="29"/>
      <c r="BA20" s="1271"/>
      <c r="BB20" s="1272"/>
      <c r="BC20" s="1272"/>
      <c r="BD20" s="1272"/>
    </row>
    <row r="21" spans="1:56" ht="12.95" customHeight="1" thickBot="1" x14ac:dyDescent="0.2">
      <c r="A21" s="569"/>
      <c r="B21" s="569" t="s">
        <v>356</v>
      </c>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29"/>
      <c r="AB21" s="569"/>
      <c r="AC21" s="569"/>
      <c r="AD21" s="569"/>
      <c r="AE21" s="569"/>
      <c r="AF21" s="569"/>
      <c r="AG21" s="569"/>
      <c r="AH21" s="569"/>
      <c r="AI21" s="569"/>
      <c r="AJ21" s="29"/>
      <c r="AK21" s="593"/>
      <c r="AL21" s="593"/>
      <c r="AM21" s="593"/>
      <c r="AN21" s="593"/>
      <c r="AO21" s="593"/>
      <c r="AP21" s="29"/>
      <c r="AQ21" s="565"/>
      <c r="AR21" s="565"/>
      <c r="AS21" s="565"/>
      <c r="AT21" s="565"/>
      <c r="AU21" s="29"/>
      <c r="AV21" s="29"/>
      <c r="AW21" s="29"/>
      <c r="AX21" s="29"/>
      <c r="AY21" s="593" t="s">
        <v>232</v>
      </c>
      <c r="AZ21" s="29"/>
      <c r="BA21" s="1272"/>
      <c r="BB21" s="1272"/>
      <c r="BC21" s="1272"/>
      <c r="BD21" s="1272"/>
    </row>
    <row r="22" spans="1:56" ht="12.95" customHeight="1" x14ac:dyDescent="0.15">
      <c r="A22" s="29"/>
      <c r="B22" s="614"/>
      <c r="C22" s="1275" t="s">
        <v>233</v>
      </c>
      <c r="D22" s="1275"/>
      <c r="E22" s="1275"/>
      <c r="F22" s="1275"/>
      <c r="G22" s="1275"/>
      <c r="H22" s="1275"/>
      <c r="I22" s="595"/>
      <c r="J22" s="1276">
        <v>3000</v>
      </c>
      <c r="K22" s="1277"/>
      <c r="L22" s="1277"/>
      <c r="M22" s="1277"/>
      <c r="N22" s="1278"/>
      <c r="O22" s="1276">
        <v>5000</v>
      </c>
      <c r="P22" s="1277"/>
      <c r="Q22" s="1277"/>
      <c r="R22" s="1277"/>
      <c r="S22" s="1277"/>
      <c r="T22" s="596"/>
      <c r="U22" s="1282" t="e">
        <f>T69</f>
        <v>#REF!</v>
      </c>
      <c r="V22" s="1282"/>
      <c r="W22" s="1282"/>
      <c r="X22" s="1282"/>
      <c r="Y22" s="1284" t="s">
        <v>234</v>
      </c>
      <c r="Z22" s="1284"/>
      <c r="AA22" s="597"/>
      <c r="AB22" s="598"/>
      <c r="AC22" s="1286" t="s">
        <v>355</v>
      </c>
      <c r="AD22" s="1287"/>
      <c r="AE22" s="1288"/>
      <c r="AF22" s="1286" t="s">
        <v>235</v>
      </c>
      <c r="AG22" s="1287"/>
      <c r="AH22" s="1287"/>
      <c r="AI22" s="1287"/>
      <c r="AJ22" s="1288"/>
      <c r="AK22" s="1292" t="s">
        <v>337</v>
      </c>
      <c r="AL22" s="1293"/>
      <c r="AM22" s="1293"/>
      <c r="AN22" s="1293"/>
      <c r="AO22" s="1294"/>
      <c r="AP22" s="1295"/>
      <c r="AQ22" s="1293"/>
      <c r="AR22" s="1293"/>
      <c r="AS22" s="1293"/>
      <c r="AT22" s="1296"/>
      <c r="AU22" s="1292"/>
      <c r="AV22" s="1293"/>
      <c r="AW22" s="1293"/>
      <c r="AX22" s="1293"/>
      <c r="AY22" s="1296"/>
      <c r="AZ22" s="29"/>
      <c r="BA22" s="1271"/>
      <c r="BB22" s="1272"/>
      <c r="BC22" s="1272"/>
      <c r="BD22" s="1272"/>
    </row>
    <row r="23" spans="1:56" ht="12.95" customHeight="1" x14ac:dyDescent="0.15">
      <c r="A23" s="29"/>
      <c r="B23" s="599"/>
      <c r="C23" s="1297" t="s">
        <v>236</v>
      </c>
      <c r="D23" s="1297"/>
      <c r="E23" s="1297"/>
      <c r="F23" s="1297"/>
      <c r="G23" s="1297"/>
      <c r="H23" s="1297"/>
      <c r="I23" s="601"/>
      <c r="J23" s="1279"/>
      <c r="K23" s="1280"/>
      <c r="L23" s="1280"/>
      <c r="M23" s="1280"/>
      <c r="N23" s="1281"/>
      <c r="O23" s="1279"/>
      <c r="P23" s="1280"/>
      <c r="Q23" s="1280"/>
      <c r="R23" s="1280"/>
      <c r="S23" s="1280"/>
      <c r="T23" s="602"/>
      <c r="U23" s="1283"/>
      <c r="V23" s="1283"/>
      <c r="W23" s="1283"/>
      <c r="X23" s="1283"/>
      <c r="Y23" s="1285"/>
      <c r="Z23" s="1285"/>
      <c r="AA23" s="603"/>
      <c r="AB23" s="598"/>
      <c r="AC23" s="1289"/>
      <c r="AD23" s="1290"/>
      <c r="AE23" s="1291"/>
      <c r="AF23" s="1289"/>
      <c r="AG23" s="1290"/>
      <c r="AH23" s="1290"/>
      <c r="AI23" s="1290"/>
      <c r="AJ23" s="1291"/>
      <c r="AK23" s="1298" t="s">
        <v>381</v>
      </c>
      <c r="AL23" s="1299"/>
      <c r="AM23" s="1299"/>
      <c r="AN23" s="1299"/>
      <c r="AO23" s="1300"/>
      <c r="AP23" s="1301"/>
      <c r="AQ23" s="1302"/>
      <c r="AR23" s="1302"/>
      <c r="AS23" s="1302"/>
      <c r="AT23" s="1303"/>
      <c r="AU23" s="1304"/>
      <c r="AV23" s="1302"/>
      <c r="AW23" s="1302"/>
      <c r="AX23" s="1302"/>
      <c r="AY23" s="1303"/>
      <c r="AZ23" s="29"/>
      <c r="BA23" s="1272"/>
      <c r="BB23" s="1272"/>
      <c r="BC23" s="1272"/>
      <c r="BD23" s="1272"/>
    </row>
    <row r="24" spans="1:56" ht="12.95" customHeight="1" x14ac:dyDescent="0.15">
      <c r="A24" s="29"/>
      <c r="B24" s="1286" t="s">
        <v>237</v>
      </c>
      <c r="C24" s="1318"/>
      <c r="D24" s="1319"/>
      <c r="E24" s="1286" t="s">
        <v>238</v>
      </c>
      <c r="F24" s="1319"/>
      <c r="G24" s="1312" t="s">
        <v>239</v>
      </c>
      <c r="H24" s="1287"/>
      <c r="I24" s="1288"/>
      <c r="J24" s="270"/>
      <c r="K24" s="1313">
        <v>820</v>
      </c>
      <c r="L24" s="1313"/>
      <c r="M24" s="1313"/>
      <c r="N24" s="263"/>
      <c r="O24" s="270"/>
      <c r="P24" s="1313">
        <v>1300</v>
      </c>
      <c r="Q24" s="1313"/>
      <c r="R24" s="1313"/>
      <c r="S24" s="262"/>
      <c r="T24" s="604"/>
      <c r="U24" s="605"/>
      <c r="V24" s="1251" t="e">
        <f>IF(U22="-","-",ROUNDDOWN(K24-(($U22-$J22)*((K24-P24)/($O22-$J22))),0))</f>
        <v>#REF!</v>
      </c>
      <c r="W24" s="1251"/>
      <c r="X24" s="1251"/>
      <c r="Y24" s="1251"/>
      <c r="Z24" s="605"/>
      <c r="AA24" s="606"/>
      <c r="AB24" s="598"/>
      <c r="AC24" s="1253">
        <v>1</v>
      </c>
      <c r="AD24" s="1254"/>
      <c r="AE24" s="1255"/>
      <c r="AF24" s="1316" t="e">
        <f>IF(AC24="-","-",V24*AC24)</f>
        <v>#REF!</v>
      </c>
      <c r="AG24" s="1264"/>
      <c r="AH24" s="1264"/>
      <c r="AI24" s="1264"/>
      <c r="AJ24" s="1265"/>
      <c r="AK24" s="1306">
        <v>0.95</v>
      </c>
      <c r="AL24" s="1307"/>
      <c r="AM24" s="1264" t="e">
        <f>ROUND(AF24*AK24,0)</f>
        <v>#REF!</v>
      </c>
      <c r="AN24" s="1264"/>
      <c r="AO24" s="1310"/>
      <c r="AP24" s="1259"/>
      <c r="AQ24" s="1260"/>
      <c r="AR24" s="1263"/>
      <c r="AS24" s="1264"/>
      <c r="AT24" s="1265"/>
      <c r="AU24" s="1269"/>
      <c r="AV24" s="1260"/>
      <c r="AW24" s="1263"/>
      <c r="AX24" s="1264"/>
      <c r="AY24" s="1265"/>
      <c r="AZ24" s="29"/>
      <c r="BA24" s="1271">
        <f>AR24+AW24</f>
        <v>0</v>
      </c>
      <c r="BB24" s="1272"/>
      <c r="BC24" s="1272"/>
      <c r="BD24" s="1272"/>
    </row>
    <row r="25" spans="1:56" ht="12.95" customHeight="1" x14ac:dyDescent="0.15">
      <c r="A25" s="29"/>
      <c r="B25" s="1320"/>
      <c r="C25" s="1179"/>
      <c r="D25" s="1321"/>
      <c r="E25" s="1320"/>
      <c r="F25" s="1321"/>
      <c r="G25" s="1289"/>
      <c r="H25" s="1290"/>
      <c r="I25" s="1291"/>
      <c r="J25" s="132"/>
      <c r="K25" s="1314"/>
      <c r="L25" s="1314"/>
      <c r="M25" s="1314"/>
      <c r="N25" s="608"/>
      <c r="O25" s="132"/>
      <c r="P25" s="1314"/>
      <c r="Q25" s="1314"/>
      <c r="R25" s="1314"/>
      <c r="S25" s="609"/>
      <c r="T25" s="602"/>
      <c r="U25" s="587"/>
      <c r="V25" s="1252"/>
      <c r="W25" s="1252"/>
      <c r="X25" s="1252"/>
      <c r="Y25" s="1252"/>
      <c r="Z25" s="587"/>
      <c r="AA25" s="603"/>
      <c r="AB25" s="598"/>
      <c r="AC25" s="1256"/>
      <c r="AD25" s="1257"/>
      <c r="AE25" s="1258"/>
      <c r="AF25" s="1317"/>
      <c r="AG25" s="1267"/>
      <c r="AH25" s="1267"/>
      <c r="AI25" s="1267"/>
      <c r="AJ25" s="1268"/>
      <c r="AK25" s="1308"/>
      <c r="AL25" s="1309"/>
      <c r="AM25" s="1267"/>
      <c r="AN25" s="1267"/>
      <c r="AO25" s="1311"/>
      <c r="AP25" s="1261"/>
      <c r="AQ25" s="1262"/>
      <c r="AR25" s="1266"/>
      <c r="AS25" s="1267"/>
      <c r="AT25" s="1268"/>
      <c r="AU25" s="1270"/>
      <c r="AV25" s="1262"/>
      <c r="AW25" s="1266"/>
      <c r="AX25" s="1267"/>
      <c r="AY25" s="1268"/>
      <c r="AZ25" s="29"/>
      <c r="BA25" s="1272"/>
      <c r="BB25" s="1272"/>
      <c r="BC25" s="1272"/>
      <c r="BD25" s="1272"/>
    </row>
    <row r="26" spans="1:56" ht="12.95" customHeight="1" x14ac:dyDescent="0.15">
      <c r="A26" s="29"/>
      <c r="B26" s="1320"/>
      <c r="C26" s="1179"/>
      <c r="D26" s="1321"/>
      <c r="E26" s="1320"/>
      <c r="F26" s="1321"/>
      <c r="G26" s="1312" t="s">
        <v>117</v>
      </c>
      <c r="H26" s="1287"/>
      <c r="I26" s="1288"/>
      <c r="J26" s="270"/>
      <c r="K26" s="1313">
        <v>120</v>
      </c>
      <c r="L26" s="1313"/>
      <c r="M26" s="1313"/>
      <c r="N26" s="263"/>
      <c r="O26" s="270"/>
      <c r="P26" s="1313">
        <v>180</v>
      </c>
      <c r="Q26" s="1313"/>
      <c r="R26" s="1313"/>
      <c r="S26" s="262"/>
      <c r="T26" s="604"/>
      <c r="U26" s="605"/>
      <c r="V26" s="1251" t="e">
        <f>IF(U22="-","-",ROUNDDOWN(K26-(($U22-$J22)*((K26-P26)/($O22-$J22))),0))</f>
        <v>#REF!</v>
      </c>
      <c r="W26" s="1251"/>
      <c r="X26" s="1251"/>
      <c r="Y26" s="1251"/>
      <c r="Z26" s="605"/>
      <c r="AA26" s="606"/>
      <c r="AB26" s="598"/>
      <c r="AC26" s="1253">
        <v>1</v>
      </c>
      <c r="AD26" s="1254"/>
      <c r="AE26" s="1255"/>
      <c r="AF26" s="1325" t="e">
        <f>IF(AC26="-","-",V26*AC26)</f>
        <v>#REF!</v>
      </c>
      <c r="AG26" s="1325"/>
      <c r="AH26" s="1325"/>
      <c r="AI26" s="1325"/>
      <c r="AJ26" s="1325"/>
      <c r="AK26" s="1306">
        <v>0.75</v>
      </c>
      <c r="AL26" s="1307"/>
      <c r="AM26" s="1264" t="e">
        <f>ROUND(AF26*AK26,0)</f>
        <v>#REF!</v>
      </c>
      <c r="AN26" s="1264"/>
      <c r="AO26" s="1310"/>
      <c r="AP26" s="1259"/>
      <c r="AQ26" s="1260"/>
      <c r="AR26" s="1263"/>
      <c r="AS26" s="1264"/>
      <c r="AT26" s="1265"/>
      <c r="AU26" s="1269"/>
      <c r="AV26" s="1260"/>
      <c r="AW26" s="1263"/>
      <c r="AX26" s="1264"/>
      <c r="AY26" s="1265"/>
      <c r="AZ26" s="29"/>
      <c r="BA26" s="1271">
        <f>AR26+AW26</f>
        <v>0</v>
      </c>
      <c r="BB26" s="1272"/>
      <c r="BC26" s="1272"/>
      <c r="BD26" s="1272"/>
    </row>
    <row r="27" spans="1:56" ht="12.95" customHeight="1" x14ac:dyDescent="0.15">
      <c r="A27" s="29"/>
      <c r="B27" s="1320"/>
      <c r="C27" s="1179"/>
      <c r="D27" s="1321"/>
      <c r="E27" s="1320"/>
      <c r="F27" s="1321"/>
      <c r="G27" s="1289"/>
      <c r="H27" s="1290"/>
      <c r="I27" s="1291"/>
      <c r="J27" s="132"/>
      <c r="K27" s="1314"/>
      <c r="L27" s="1314"/>
      <c r="M27" s="1314"/>
      <c r="N27" s="608"/>
      <c r="O27" s="132"/>
      <c r="P27" s="1314"/>
      <c r="Q27" s="1314"/>
      <c r="R27" s="1314"/>
      <c r="S27" s="609"/>
      <c r="T27" s="602"/>
      <c r="U27" s="587"/>
      <c r="V27" s="1252"/>
      <c r="W27" s="1252"/>
      <c r="X27" s="1252"/>
      <c r="Y27" s="1252"/>
      <c r="Z27" s="587"/>
      <c r="AA27" s="603"/>
      <c r="AB27" s="598"/>
      <c r="AC27" s="1256"/>
      <c r="AD27" s="1257"/>
      <c r="AE27" s="1258"/>
      <c r="AF27" s="1325"/>
      <c r="AG27" s="1325"/>
      <c r="AH27" s="1325"/>
      <c r="AI27" s="1325"/>
      <c r="AJ27" s="1325"/>
      <c r="AK27" s="1308"/>
      <c r="AL27" s="1309"/>
      <c r="AM27" s="1267"/>
      <c r="AN27" s="1267"/>
      <c r="AO27" s="1311"/>
      <c r="AP27" s="1261"/>
      <c r="AQ27" s="1262"/>
      <c r="AR27" s="1266"/>
      <c r="AS27" s="1267"/>
      <c r="AT27" s="1268"/>
      <c r="AU27" s="1270"/>
      <c r="AV27" s="1262"/>
      <c r="AW27" s="1266"/>
      <c r="AX27" s="1267"/>
      <c r="AY27" s="1268"/>
      <c r="AZ27" s="29"/>
      <c r="BA27" s="1272"/>
      <c r="BB27" s="1272"/>
      <c r="BC27" s="1272"/>
      <c r="BD27" s="1272"/>
    </row>
    <row r="28" spans="1:56" ht="12.95" customHeight="1" x14ac:dyDescent="0.15">
      <c r="A28" s="29"/>
      <c r="B28" s="1320"/>
      <c r="C28" s="1179"/>
      <c r="D28" s="1321"/>
      <c r="E28" s="1320"/>
      <c r="F28" s="1321"/>
      <c r="G28" s="1312" t="s">
        <v>240</v>
      </c>
      <c r="H28" s="1287"/>
      <c r="I28" s="1288"/>
      <c r="J28" s="270"/>
      <c r="K28" s="1313">
        <v>160</v>
      </c>
      <c r="L28" s="1313"/>
      <c r="M28" s="1313"/>
      <c r="N28" s="263"/>
      <c r="O28" s="270"/>
      <c r="P28" s="1313">
        <v>270</v>
      </c>
      <c r="Q28" s="1313"/>
      <c r="R28" s="1313"/>
      <c r="S28" s="262"/>
      <c r="T28" s="604"/>
      <c r="U28" s="605"/>
      <c r="V28" s="1251" t="e">
        <f>IF(U22="-","-",ROUNDDOWN(K28-(($U22-$J22)*((K28-P28)/($O22-$J22))),0))</f>
        <v>#REF!</v>
      </c>
      <c r="W28" s="1251"/>
      <c r="X28" s="1251"/>
      <c r="Y28" s="1251"/>
      <c r="Z28" s="605"/>
      <c r="AA28" s="606"/>
      <c r="AB28" s="598"/>
      <c r="AC28" s="1253">
        <v>1</v>
      </c>
      <c r="AD28" s="1254"/>
      <c r="AE28" s="1255"/>
      <c r="AF28" s="1325" t="e">
        <f>IF(AC28="-","-",V28*AC28)</f>
        <v>#REF!</v>
      </c>
      <c r="AG28" s="1325"/>
      <c r="AH28" s="1325"/>
      <c r="AI28" s="1325"/>
      <c r="AJ28" s="1325"/>
      <c r="AK28" s="1306">
        <v>0.8</v>
      </c>
      <c r="AL28" s="1307"/>
      <c r="AM28" s="1264" t="e">
        <f>ROUND(AF28*AK28,0)</f>
        <v>#REF!</v>
      </c>
      <c r="AN28" s="1264"/>
      <c r="AO28" s="1310"/>
      <c r="AP28" s="1259"/>
      <c r="AQ28" s="1260"/>
      <c r="AR28" s="1263"/>
      <c r="AS28" s="1264"/>
      <c r="AT28" s="1265"/>
      <c r="AU28" s="1269"/>
      <c r="AV28" s="1260"/>
      <c r="AW28" s="1263"/>
      <c r="AX28" s="1264"/>
      <c r="AY28" s="1265"/>
      <c r="AZ28" s="29"/>
      <c r="BA28" s="1271">
        <f>AR28+AW28</f>
        <v>0</v>
      </c>
      <c r="BB28" s="1272"/>
      <c r="BC28" s="1272"/>
      <c r="BD28" s="1272"/>
    </row>
    <row r="29" spans="1:56" ht="12.95" customHeight="1" x14ac:dyDescent="0.15">
      <c r="A29" s="29"/>
      <c r="B29" s="1322"/>
      <c r="C29" s="1323"/>
      <c r="D29" s="1324"/>
      <c r="E29" s="1322"/>
      <c r="F29" s="1324"/>
      <c r="G29" s="1289"/>
      <c r="H29" s="1290"/>
      <c r="I29" s="1291"/>
      <c r="J29" s="132"/>
      <c r="K29" s="1314"/>
      <c r="L29" s="1314"/>
      <c r="M29" s="1314"/>
      <c r="N29" s="608"/>
      <c r="O29" s="132"/>
      <c r="P29" s="1314"/>
      <c r="Q29" s="1314"/>
      <c r="R29" s="1314"/>
      <c r="S29" s="609"/>
      <c r="T29" s="602"/>
      <c r="U29" s="587"/>
      <c r="V29" s="1252"/>
      <c r="W29" s="1252"/>
      <c r="X29" s="1252"/>
      <c r="Y29" s="1252"/>
      <c r="Z29" s="587"/>
      <c r="AA29" s="603"/>
      <c r="AB29" s="598"/>
      <c r="AC29" s="1256"/>
      <c r="AD29" s="1257"/>
      <c r="AE29" s="1258"/>
      <c r="AF29" s="1325"/>
      <c r="AG29" s="1325"/>
      <c r="AH29" s="1325"/>
      <c r="AI29" s="1325"/>
      <c r="AJ29" s="1325"/>
      <c r="AK29" s="1308"/>
      <c r="AL29" s="1309"/>
      <c r="AM29" s="1267"/>
      <c r="AN29" s="1267"/>
      <c r="AO29" s="1311"/>
      <c r="AP29" s="1261"/>
      <c r="AQ29" s="1262"/>
      <c r="AR29" s="1266"/>
      <c r="AS29" s="1267"/>
      <c r="AT29" s="1268"/>
      <c r="AU29" s="1270"/>
      <c r="AV29" s="1262"/>
      <c r="AW29" s="1266"/>
      <c r="AX29" s="1267"/>
      <c r="AY29" s="1268"/>
      <c r="AZ29" s="29"/>
      <c r="BA29" s="1272"/>
      <c r="BB29" s="1272"/>
      <c r="BC29" s="1272"/>
      <c r="BD29" s="1272"/>
    </row>
    <row r="30" spans="1:56" ht="12.95" customHeight="1" x14ac:dyDescent="0.15">
      <c r="A30" s="29"/>
      <c r="B30" s="1312" t="s">
        <v>31</v>
      </c>
      <c r="C30" s="1287"/>
      <c r="D30" s="1287"/>
      <c r="E30" s="1287"/>
      <c r="F30" s="1287"/>
      <c r="G30" s="1287"/>
      <c r="H30" s="1287"/>
      <c r="I30" s="1288"/>
      <c r="J30" s="270"/>
      <c r="K30" s="1313">
        <f>SUM(K24:M29)</f>
        <v>1100</v>
      </c>
      <c r="L30" s="1313"/>
      <c r="M30" s="1313"/>
      <c r="N30" s="263"/>
      <c r="O30" s="270"/>
      <c r="P30" s="1313">
        <f>SUM(P24:R29)</f>
        <v>1750</v>
      </c>
      <c r="Q30" s="1313"/>
      <c r="R30" s="1313"/>
      <c r="S30" s="262"/>
      <c r="T30" s="604"/>
      <c r="U30" s="605"/>
      <c r="V30" s="1251" t="e">
        <f>SUM(V24:Y29)</f>
        <v>#REF!</v>
      </c>
      <c r="W30" s="1251"/>
      <c r="X30" s="1251"/>
      <c r="Y30" s="1251"/>
      <c r="Z30" s="605"/>
      <c r="AA30" s="606"/>
      <c r="AB30" s="598"/>
      <c r="AC30" s="1312" t="s">
        <v>74</v>
      </c>
      <c r="AD30" s="1287"/>
      <c r="AE30" s="1288"/>
      <c r="AF30" s="1316" t="e">
        <f>SUM(AF24:AJ29)</f>
        <v>#REF!</v>
      </c>
      <c r="AG30" s="1264"/>
      <c r="AH30" s="1264"/>
      <c r="AI30" s="1264"/>
      <c r="AJ30" s="1265"/>
      <c r="AK30" s="1316" t="e">
        <f>SUM(AM24:AO29)</f>
        <v>#REF!</v>
      </c>
      <c r="AL30" s="1264"/>
      <c r="AM30" s="1264"/>
      <c r="AN30" s="1264"/>
      <c r="AO30" s="1310"/>
      <c r="AP30" s="1326"/>
      <c r="AQ30" s="1264"/>
      <c r="AR30" s="1264"/>
      <c r="AS30" s="1264"/>
      <c r="AT30" s="1265"/>
      <c r="AU30" s="1316"/>
      <c r="AV30" s="1264"/>
      <c r="AW30" s="1264"/>
      <c r="AX30" s="1264"/>
      <c r="AY30" s="1265"/>
      <c r="AZ30" s="29"/>
      <c r="BA30" s="1271">
        <f>AP30+AU30</f>
        <v>0</v>
      </c>
      <c r="BB30" s="1272"/>
      <c r="BC30" s="1272"/>
      <c r="BD30" s="1272"/>
    </row>
    <row r="31" spans="1:56" ht="12.95" customHeight="1" thickBot="1" x14ac:dyDescent="0.2">
      <c r="A31" s="29"/>
      <c r="B31" s="1289"/>
      <c r="C31" s="1290"/>
      <c r="D31" s="1290"/>
      <c r="E31" s="1290"/>
      <c r="F31" s="1290"/>
      <c r="G31" s="1290"/>
      <c r="H31" s="1290"/>
      <c r="I31" s="1291"/>
      <c r="J31" s="132"/>
      <c r="K31" s="1314"/>
      <c r="L31" s="1314"/>
      <c r="M31" s="1314"/>
      <c r="N31" s="608"/>
      <c r="O31" s="132"/>
      <c r="P31" s="1314"/>
      <c r="Q31" s="1314"/>
      <c r="R31" s="1314"/>
      <c r="S31" s="609"/>
      <c r="T31" s="610"/>
      <c r="U31" s="611"/>
      <c r="V31" s="1315"/>
      <c r="W31" s="1315"/>
      <c r="X31" s="1315"/>
      <c r="Y31" s="1315"/>
      <c r="Z31" s="611"/>
      <c r="AA31" s="612"/>
      <c r="AB31" s="598"/>
      <c r="AC31" s="1289"/>
      <c r="AD31" s="1290"/>
      <c r="AE31" s="1291"/>
      <c r="AF31" s="1317"/>
      <c r="AG31" s="1267"/>
      <c r="AH31" s="1267"/>
      <c r="AI31" s="1267"/>
      <c r="AJ31" s="1268"/>
      <c r="AK31" s="1317"/>
      <c r="AL31" s="1267"/>
      <c r="AM31" s="1267"/>
      <c r="AN31" s="1267"/>
      <c r="AO31" s="1311"/>
      <c r="AP31" s="1327"/>
      <c r="AQ31" s="1267"/>
      <c r="AR31" s="1267"/>
      <c r="AS31" s="1267"/>
      <c r="AT31" s="1268"/>
      <c r="AU31" s="1317"/>
      <c r="AV31" s="1267"/>
      <c r="AW31" s="1267"/>
      <c r="AX31" s="1267"/>
      <c r="AY31" s="1268"/>
      <c r="AZ31" s="29"/>
      <c r="BA31" s="1272"/>
      <c r="BB31" s="1272"/>
      <c r="BC31" s="1272"/>
      <c r="BD31" s="1272"/>
    </row>
    <row r="32" spans="1:56" ht="12.95" customHeight="1" x14ac:dyDescent="0.15">
      <c r="A32" s="29"/>
      <c r="B32" s="613"/>
      <c r="C32" s="613"/>
      <c r="D32" s="613"/>
      <c r="E32" s="613"/>
      <c r="F32" s="613"/>
      <c r="G32" s="613"/>
      <c r="H32" s="613"/>
      <c r="I32" s="613"/>
      <c r="J32" s="613"/>
      <c r="K32" s="613"/>
      <c r="L32" s="613"/>
      <c r="M32" s="613"/>
      <c r="N32" s="613"/>
      <c r="O32" s="613"/>
      <c r="P32" s="613"/>
      <c r="Q32" s="613"/>
      <c r="R32" s="613"/>
      <c r="S32" s="613"/>
      <c r="T32" s="613"/>
      <c r="U32" s="613"/>
      <c r="V32" s="613"/>
      <c r="W32" s="613"/>
      <c r="X32" s="613"/>
      <c r="Y32" s="613"/>
      <c r="Z32" s="613"/>
      <c r="AA32" s="613"/>
      <c r="AB32" s="613"/>
      <c r="AC32" s="613"/>
      <c r="AD32" s="613"/>
      <c r="AE32" s="613"/>
      <c r="AF32" s="613"/>
      <c r="AG32" s="613"/>
      <c r="AH32" s="613"/>
      <c r="AI32" s="613"/>
      <c r="AJ32" s="613"/>
      <c r="AK32" s="613"/>
      <c r="AL32" s="613"/>
      <c r="AM32" s="613"/>
      <c r="AN32" s="613"/>
      <c r="AO32" s="613"/>
      <c r="AP32" s="29"/>
      <c r="AQ32" s="565"/>
      <c r="AR32" s="565"/>
      <c r="AS32" s="565"/>
      <c r="AT32" s="565"/>
      <c r="AU32" s="29"/>
      <c r="AV32" s="29"/>
      <c r="AW32" s="29"/>
      <c r="AX32" s="29"/>
      <c r="AY32" s="29"/>
      <c r="AZ32" s="29"/>
      <c r="BA32" s="1271"/>
      <c r="BB32" s="1272"/>
      <c r="BC32" s="1272"/>
      <c r="BD32" s="1272"/>
    </row>
    <row r="33" spans="1:56" ht="12.95" customHeight="1" thickBot="1" x14ac:dyDescent="0.2">
      <c r="A33" s="569"/>
      <c r="B33" s="569" t="s">
        <v>357</v>
      </c>
      <c r="C33" s="569"/>
      <c r="D33" s="569"/>
      <c r="E33" s="569"/>
      <c r="F33" s="569"/>
      <c r="G33" s="569"/>
      <c r="H33" s="569"/>
      <c r="I33" s="569"/>
      <c r="J33" s="569"/>
      <c r="K33" s="569"/>
      <c r="L33" s="569"/>
      <c r="M33" s="569"/>
      <c r="N33" s="569"/>
      <c r="O33" s="569"/>
      <c r="P33" s="569"/>
      <c r="Q33" s="569"/>
      <c r="R33" s="569"/>
      <c r="S33" s="569"/>
      <c r="T33" s="569"/>
      <c r="U33" s="569"/>
      <c r="V33" s="569"/>
      <c r="W33" s="569"/>
      <c r="X33" s="569"/>
      <c r="Y33" s="569"/>
      <c r="Z33" s="569"/>
      <c r="AA33" s="29"/>
      <c r="AB33" s="569"/>
      <c r="AC33" s="569"/>
      <c r="AD33" s="569"/>
      <c r="AE33" s="569"/>
      <c r="AF33" s="569"/>
      <c r="AG33" s="569"/>
      <c r="AH33" s="569"/>
      <c r="AI33" s="569"/>
      <c r="AJ33" s="29"/>
      <c r="AK33" s="593"/>
      <c r="AL33" s="593"/>
      <c r="AM33" s="593"/>
      <c r="AN33" s="593"/>
      <c r="AO33" s="593"/>
      <c r="AP33" s="29"/>
      <c r="AQ33" s="565"/>
      <c r="AR33" s="565"/>
      <c r="AS33" s="565"/>
      <c r="AT33" s="565"/>
      <c r="AU33" s="29"/>
      <c r="AV33" s="29"/>
      <c r="AW33" s="29"/>
      <c r="AX33" s="29"/>
      <c r="AY33" s="593" t="s">
        <v>232</v>
      </c>
      <c r="AZ33" s="29"/>
      <c r="BA33" s="1272"/>
      <c r="BB33" s="1272"/>
      <c r="BC33" s="1272"/>
      <c r="BD33" s="1272"/>
    </row>
    <row r="34" spans="1:56" ht="12.95" customHeight="1" x14ac:dyDescent="0.15">
      <c r="A34" s="29"/>
      <c r="B34" s="614"/>
      <c r="C34" s="1275" t="s">
        <v>233</v>
      </c>
      <c r="D34" s="1275"/>
      <c r="E34" s="1275"/>
      <c r="F34" s="1275"/>
      <c r="G34" s="1275"/>
      <c r="H34" s="1275"/>
      <c r="I34" s="595"/>
      <c r="J34" s="1276">
        <v>5000</v>
      </c>
      <c r="K34" s="1277"/>
      <c r="L34" s="1277"/>
      <c r="M34" s="1277"/>
      <c r="N34" s="1278"/>
      <c r="O34" s="1276">
        <v>7500</v>
      </c>
      <c r="P34" s="1277"/>
      <c r="Q34" s="1277"/>
      <c r="R34" s="1277"/>
      <c r="S34" s="1277"/>
      <c r="T34" s="596"/>
      <c r="U34" s="1282" t="e">
        <f>X69</f>
        <v>#REF!</v>
      </c>
      <c r="V34" s="1282"/>
      <c r="W34" s="1282"/>
      <c r="X34" s="1282"/>
      <c r="Y34" s="1284" t="s">
        <v>234</v>
      </c>
      <c r="Z34" s="1284"/>
      <c r="AA34" s="597"/>
      <c r="AB34" s="598"/>
      <c r="AC34" s="1286" t="s">
        <v>355</v>
      </c>
      <c r="AD34" s="1287"/>
      <c r="AE34" s="1288"/>
      <c r="AF34" s="1286" t="s">
        <v>235</v>
      </c>
      <c r="AG34" s="1287"/>
      <c r="AH34" s="1287"/>
      <c r="AI34" s="1287"/>
      <c r="AJ34" s="1288"/>
      <c r="AK34" s="1292" t="s">
        <v>337</v>
      </c>
      <c r="AL34" s="1293"/>
      <c r="AM34" s="1293"/>
      <c r="AN34" s="1293"/>
      <c r="AO34" s="1294"/>
      <c r="AP34" s="1295"/>
      <c r="AQ34" s="1293"/>
      <c r="AR34" s="1293"/>
      <c r="AS34" s="1293"/>
      <c r="AT34" s="1296"/>
      <c r="AU34" s="1292"/>
      <c r="AV34" s="1293"/>
      <c r="AW34" s="1293"/>
      <c r="AX34" s="1293"/>
      <c r="AY34" s="1296"/>
      <c r="AZ34" s="29"/>
      <c r="BA34" s="1271"/>
      <c r="BB34" s="1272"/>
      <c r="BC34" s="1272"/>
      <c r="BD34" s="1272"/>
    </row>
    <row r="35" spans="1:56" ht="12.95" customHeight="1" x14ac:dyDescent="0.15">
      <c r="A35" s="29"/>
      <c r="B35" s="599"/>
      <c r="C35" s="1297" t="s">
        <v>236</v>
      </c>
      <c r="D35" s="1297"/>
      <c r="E35" s="1297"/>
      <c r="F35" s="1297"/>
      <c r="G35" s="1297"/>
      <c r="H35" s="1297"/>
      <c r="I35" s="601"/>
      <c r="J35" s="1279"/>
      <c r="K35" s="1280"/>
      <c r="L35" s="1280"/>
      <c r="M35" s="1280"/>
      <c r="N35" s="1281"/>
      <c r="O35" s="1279"/>
      <c r="P35" s="1280"/>
      <c r="Q35" s="1280"/>
      <c r="R35" s="1280"/>
      <c r="S35" s="1280"/>
      <c r="T35" s="602"/>
      <c r="U35" s="1283"/>
      <c r="V35" s="1283"/>
      <c r="W35" s="1283"/>
      <c r="X35" s="1283"/>
      <c r="Y35" s="1285"/>
      <c r="Z35" s="1285"/>
      <c r="AA35" s="603"/>
      <c r="AB35" s="598"/>
      <c r="AC35" s="1289"/>
      <c r="AD35" s="1290"/>
      <c r="AE35" s="1291"/>
      <c r="AF35" s="1289"/>
      <c r="AG35" s="1290"/>
      <c r="AH35" s="1290"/>
      <c r="AI35" s="1290"/>
      <c r="AJ35" s="1291"/>
      <c r="AK35" s="1298" t="s">
        <v>381</v>
      </c>
      <c r="AL35" s="1299"/>
      <c r="AM35" s="1299"/>
      <c r="AN35" s="1299"/>
      <c r="AO35" s="1300"/>
      <c r="AP35" s="1301"/>
      <c r="AQ35" s="1302"/>
      <c r="AR35" s="1302"/>
      <c r="AS35" s="1302"/>
      <c r="AT35" s="1303"/>
      <c r="AU35" s="1304"/>
      <c r="AV35" s="1302"/>
      <c r="AW35" s="1302"/>
      <c r="AX35" s="1302"/>
      <c r="AY35" s="1303"/>
      <c r="AZ35" s="29"/>
      <c r="BA35" s="1272"/>
      <c r="BB35" s="1272"/>
      <c r="BC35" s="1272"/>
      <c r="BD35" s="1272"/>
    </row>
    <row r="36" spans="1:56" ht="12.95" customHeight="1" x14ac:dyDescent="0.15">
      <c r="A36" s="29"/>
      <c r="B36" s="1286" t="s">
        <v>237</v>
      </c>
      <c r="C36" s="1318"/>
      <c r="D36" s="1319"/>
      <c r="E36" s="1286" t="s">
        <v>238</v>
      </c>
      <c r="F36" s="1319"/>
      <c r="G36" s="1312" t="s">
        <v>239</v>
      </c>
      <c r="H36" s="1287"/>
      <c r="I36" s="1288"/>
      <c r="J36" s="270"/>
      <c r="K36" s="1313">
        <v>1800</v>
      </c>
      <c r="L36" s="1313"/>
      <c r="M36" s="1313"/>
      <c r="N36" s="263"/>
      <c r="O36" s="270"/>
      <c r="P36" s="1313">
        <v>2700</v>
      </c>
      <c r="Q36" s="1313"/>
      <c r="R36" s="1313"/>
      <c r="S36" s="262"/>
      <c r="T36" s="604"/>
      <c r="U36" s="605"/>
      <c r="V36" s="1251" t="e">
        <f>IF(U34="-","-",ROUNDDOWN(K36-(($U34-$J34)*((K36-P36)/($O34-$J34))),0))</f>
        <v>#REF!</v>
      </c>
      <c r="W36" s="1251"/>
      <c r="X36" s="1251"/>
      <c r="Y36" s="1251"/>
      <c r="Z36" s="605"/>
      <c r="AA36" s="606"/>
      <c r="AB36" s="598"/>
      <c r="AC36" s="1253">
        <v>1</v>
      </c>
      <c r="AD36" s="1254"/>
      <c r="AE36" s="1255"/>
      <c r="AF36" s="1316" t="e">
        <f>IF(AC36="-","-",V36*AC36)</f>
        <v>#REF!</v>
      </c>
      <c r="AG36" s="1264"/>
      <c r="AH36" s="1264"/>
      <c r="AI36" s="1264"/>
      <c r="AJ36" s="1265"/>
      <c r="AK36" s="1306">
        <v>0.95</v>
      </c>
      <c r="AL36" s="1307"/>
      <c r="AM36" s="1264" t="e">
        <f>ROUND(AF36*AK36,0)</f>
        <v>#REF!</v>
      </c>
      <c r="AN36" s="1264"/>
      <c r="AO36" s="1310"/>
      <c r="AP36" s="1259"/>
      <c r="AQ36" s="1260"/>
      <c r="AR36" s="1263"/>
      <c r="AS36" s="1264"/>
      <c r="AT36" s="1265"/>
      <c r="AU36" s="1269"/>
      <c r="AV36" s="1260"/>
      <c r="AW36" s="1263"/>
      <c r="AX36" s="1264"/>
      <c r="AY36" s="1265"/>
      <c r="AZ36" s="29"/>
      <c r="BA36" s="1271">
        <f>AR36+AW36</f>
        <v>0</v>
      </c>
      <c r="BB36" s="1272"/>
      <c r="BC36" s="1272"/>
      <c r="BD36" s="1272"/>
    </row>
    <row r="37" spans="1:56" ht="12.95" customHeight="1" x14ac:dyDescent="0.15">
      <c r="A37" s="29"/>
      <c r="B37" s="1320"/>
      <c r="C37" s="1179"/>
      <c r="D37" s="1321"/>
      <c r="E37" s="1320"/>
      <c r="F37" s="1321"/>
      <c r="G37" s="1289"/>
      <c r="H37" s="1290"/>
      <c r="I37" s="1291"/>
      <c r="J37" s="132"/>
      <c r="K37" s="1314"/>
      <c r="L37" s="1314"/>
      <c r="M37" s="1314"/>
      <c r="N37" s="608"/>
      <c r="O37" s="132"/>
      <c r="P37" s="1314"/>
      <c r="Q37" s="1314"/>
      <c r="R37" s="1314"/>
      <c r="S37" s="609"/>
      <c r="T37" s="602"/>
      <c r="U37" s="587"/>
      <c r="V37" s="1252"/>
      <c r="W37" s="1252"/>
      <c r="X37" s="1252"/>
      <c r="Y37" s="1252"/>
      <c r="Z37" s="587"/>
      <c r="AA37" s="603"/>
      <c r="AB37" s="598"/>
      <c r="AC37" s="1256"/>
      <c r="AD37" s="1257"/>
      <c r="AE37" s="1258"/>
      <c r="AF37" s="1317"/>
      <c r="AG37" s="1267"/>
      <c r="AH37" s="1267"/>
      <c r="AI37" s="1267"/>
      <c r="AJ37" s="1268"/>
      <c r="AK37" s="1308"/>
      <c r="AL37" s="1309"/>
      <c r="AM37" s="1267"/>
      <c r="AN37" s="1267"/>
      <c r="AO37" s="1311"/>
      <c r="AP37" s="1261"/>
      <c r="AQ37" s="1262"/>
      <c r="AR37" s="1266"/>
      <c r="AS37" s="1267"/>
      <c r="AT37" s="1268"/>
      <c r="AU37" s="1270"/>
      <c r="AV37" s="1262"/>
      <c r="AW37" s="1266"/>
      <c r="AX37" s="1267"/>
      <c r="AY37" s="1268"/>
      <c r="AZ37" s="29"/>
      <c r="BA37" s="1272"/>
      <c r="BB37" s="1272"/>
      <c r="BC37" s="1272"/>
      <c r="BD37" s="1272"/>
    </row>
    <row r="38" spans="1:56" ht="12.95" customHeight="1" x14ac:dyDescent="0.15">
      <c r="A38" s="29"/>
      <c r="B38" s="1320"/>
      <c r="C38" s="1179"/>
      <c r="D38" s="1321"/>
      <c r="E38" s="1320"/>
      <c r="F38" s="1321"/>
      <c r="G38" s="1312" t="s">
        <v>117</v>
      </c>
      <c r="H38" s="1287"/>
      <c r="I38" s="1288"/>
      <c r="J38" s="270"/>
      <c r="K38" s="1313">
        <v>340</v>
      </c>
      <c r="L38" s="1313"/>
      <c r="M38" s="1313"/>
      <c r="N38" s="263"/>
      <c r="O38" s="270"/>
      <c r="P38" s="1313">
        <v>490</v>
      </c>
      <c r="Q38" s="1313"/>
      <c r="R38" s="1313"/>
      <c r="S38" s="262"/>
      <c r="T38" s="604"/>
      <c r="U38" s="605"/>
      <c r="V38" s="1251" t="e">
        <f>IF(U34="-","-",ROUNDDOWN(K38-(($U34-$J34)*((K38-P38)/($O34-$J34))),0))</f>
        <v>#REF!</v>
      </c>
      <c r="W38" s="1251"/>
      <c r="X38" s="1251"/>
      <c r="Y38" s="1251"/>
      <c r="Z38" s="605"/>
      <c r="AA38" s="606"/>
      <c r="AB38" s="598"/>
      <c r="AC38" s="1253">
        <v>1</v>
      </c>
      <c r="AD38" s="1254"/>
      <c r="AE38" s="1255"/>
      <c r="AF38" s="1325" t="e">
        <f>IF(AC38="-","-",V38*AC38)</f>
        <v>#REF!</v>
      </c>
      <c r="AG38" s="1325"/>
      <c r="AH38" s="1325"/>
      <c r="AI38" s="1325"/>
      <c r="AJ38" s="1325"/>
      <c r="AK38" s="1306">
        <v>0.75</v>
      </c>
      <c r="AL38" s="1307"/>
      <c r="AM38" s="1264" t="e">
        <f>ROUND(AF38*AK38,0)</f>
        <v>#REF!</v>
      </c>
      <c r="AN38" s="1264"/>
      <c r="AO38" s="1310"/>
      <c r="AP38" s="1259"/>
      <c r="AQ38" s="1260"/>
      <c r="AR38" s="1263"/>
      <c r="AS38" s="1264"/>
      <c r="AT38" s="1265"/>
      <c r="AU38" s="1269"/>
      <c r="AV38" s="1260"/>
      <c r="AW38" s="1263"/>
      <c r="AX38" s="1264"/>
      <c r="AY38" s="1265"/>
      <c r="AZ38" s="29"/>
      <c r="BA38" s="1271">
        <f>AR38+AW38</f>
        <v>0</v>
      </c>
      <c r="BB38" s="1272"/>
      <c r="BC38" s="1272"/>
      <c r="BD38" s="1272"/>
    </row>
    <row r="39" spans="1:56" ht="12.95" customHeight="1" x14ac:dyDescent="0.15">
      <c r="A39" s="29"/>
      <c r="B39" s="1320"/>
      <c r="C39" s="1179"/>
      <c r="D39" s="1321"/>
      <c r="E39" s="1320"/>
      <c r="F39" s="1321"/>
      <c r="G39" s="1289"/>
      <c r="H39" s="1290"/>
      <c r="I39" s="1291"/>
      <c r="J39" s="132"/>
      <c r="K39" s="1314"/>
      <c r="L39" s="1314"/>
      <c r="M39" s="1314"/>
      <c r="N39" s="608"/>
      <c r="O39" s="132"/>
      <c r="P39" s="1314"/>
      <c r="Q39" s="1314"/>
      <c r="R39" s="1314"/>
      <c r="S39" s="609"/>
      <c r="T39" s="602"/>
      <c r="U39" s="587"/>
      <c r="V39" s="1252"/>
      <c r="W39" s="1252"/>
      <c r="X39" s="1252"/>
      <c r="Y39" s="1252"/>
      <c r="Z39" s="587"/>
      <c r="AA39" s="603"/>
      <c r="AB39" s="598"/>
      <c r="AC39" s="1256"/>
      <c r="AD39" s="1257"/>
      <c r="AE39" s="1258"/>
      <c r="AF39" s="1325"/>
      <c r="AG39" s="1325"/>
      <c r="AH39" s="1325"/>
      <c r="AI39" s="1325"/>
      <c r="AJ39" s="1325"/>
      <c r="AK39" s="1308"/>
      <c r="AL39" s="1309"/>
      <c r="AM39" s="1267"/>
      <c r="AN39" s="1267"/>
      <c r="AO39" s="1311"/>
      <c r="AP39" s="1261"/>
      <c r="AQ39" s="1262"/>
      <c r="AR39" s="1266"/>
      <c r="AS39" s="1267"/>
      <c r="AT39" s="1268"/>
      <c r="AU39" s="1270"/>
      <c r="AV39" s="1262"/>
      <c r="AW39" s="1266"/>
      <c r="AX39" s="1267"/>
      <c r="AY39" s="1268"/>
      <c r="AZ39" s="29"/>
      <c r="BA39" s="1272"/>
      <c r="BB39" s="1272"/>
      <c r="BC39" s="1272"/>
      <c r="BD39" s="1272"/>
    </row>
    <row r="40" spans="1:56" ht="12.95" customHeight="1" x14ac:dyDescent="0.15">
      <c r="A40" s="29"/>
      <c r="B40" s="1320"/>
      <c r="C40" s="1179"/>
      <c r="D40" s="1321"/>
      <c r="E40" s="1320"/>
      <c r="F40" s="1321"/>
      <c r="G40" s="1312" t="s">
        <v>240</v>
      </c>
      <c r="H40" s="1287"/>
      <c r="I40" s="1288"/>
      <c r="J40" s="270"/>
      <c r="K40" s="1313">
        <v>600</v>
      </c>
      <c r="L40" s="1313"/>
      <c r="M40" s="1313"/>
      <c r="N40" s="263"/>
      <c r="O40" s="270"/>
      <c r="P40" s="1313">
        <v>890</v>
      </c>
      <c r="Q40" s="1313"/>
      <c r="R40" s="1313"/>
      <c r="S40" s="262"/>
      <c r="T40" s="604"/>
      <c r="U40" s="605"/>
      <c r="V40" s="1251" t="e">
        <f>IF(U34="-","-",ROUNDDOWN(K40-(($U34-$J34)*((K40-P40)/($O34-$J34))),0))</f>
        <v>#REF!</v>
      </c>
      <c r="W40" s="1251"/>
      <c r="X40" s="1251"/>
      <c r="Y40" s="1251"/>
      <c r="Z40" s="605"/>
      <c r="AA40" s="606"/>
      <c r="AB40" s="598"/>
      <c r="AC40" s="1253">
        <v>1</v>
      </c>
      <c r="AD40" s="1254"/>
      <c r="AE40" s="1255"/>
      <c r="AF40" s="1325" t="e">
        <f>IF(AC40="-","-",V40*AC40)</f>
        <v>#REF!</v>
      </c>
      <c r="AG40" s="1325"/>
      <c r="AH40" s="1325"/>
      <c r="AI40" s="1325"/>
      <c r="AJ40" s="1325"/>
      <c r="AK40" s="1306">
        <v>0.8</v>
      </c>
      <c r="AL40" s="1307"/>
      <c r="AM40" s="1264" t="e">
        <f>ROUND(AF40*AK40,0)</f>
        <v>#REF!</v>
      </c>
      <c r="AN40" s="1264"/>
      <c r="AO40" s="1310"/>
      <c r="AP40" s="1259"/>
      <c r="AQ40" s="1260"/>
      <c r="AR40" s="1263"/>
      <c r="AS40" s="1264"/>
      <c r="AT40" s="1265"/>
      <c r="AU40" s="1269"/>
      <c r="AV40" s="1260"/>
      <c r="AW40" s="1263"/>
      <c r="AX40" s="1264"/>
      <c r="AY40" s="1265"/>
      <c r="AZ40" s="29"/>
      <c r="BA40" s="1271">
        <f>AR40+AW40</f>
        <v>0</v>
      </c>
      <c r="BB40" s="1272"/>
      <c r="BC40" s="1272"/>
      <c r="BD40" s="1272"/>
    </row>
    <row r="41" spans="1:56" ht="12.95" customHeight="1" x14ac:dyDescent="0.15">
      <c r="A41" s="29"/>
      <c r="B41" s="1322"/>
      <c r="C41" s="1323"/>
      <c r="D41" s="1324"/>
      <c r="E41" s="1322"/>
      <c r="F41" s="1324"/>
      <c r="G41" s="1289"/>
      <c r="H41" s="1290"/>
      <c r="I41" s="1291"/>
      <c r="J41" s="132"/>
      <c r="K41" s="1314"/>
      <c r="L41" s="1314"/>
      <c r="M41" s="1314"/>
      <c r="N41" s="608"/>
      <c r="O41" s="132"/>
      <c r="P41" s="1314"/>
      <c r="Q41" s="1314"/>
      <c r="R41" s="1314"/>
      <c r="S41" s="609"/>
      <c r="T41" s="602"/>
      <c r="U41" s="587"/>
      <c r="V41" s="1252"/>
      <c r="W41" s="1252"/>
      <c r="X41" s="1252"/>
      <c r="Y41" s="1252"/>
      <c r="Z41" s="587"/>
      <c r="AA41" s="603"/>
      <c r="AB41" s="598"/>
      <c r="AC41" s="1256"/>
      <c r="AD41" s="1257"/>
      <c r="AE41" s="1258"/>
      <c r="AF41" s="1325"/>
      <c r="AG41" s="1325"/>
      <c r="AH41" s="1325"/>
      <c r="AI41" s="1325"/>
      <c r="AJ41" s="1325"/>
      <c r="AK41" s="1308"/>
      <c r="AL41" s="1309"/>
      <c r="AM41" s="1267"/>
      <c r="AN41" s="1267"/>
      <c r="AO41" s="1311"/>
      <c r="AP41" s="1261"/>
      <c r="AQ41" s="1262"/>
      <c r="AR41" s="1266"/>
      <c r="AS41" s="1267"/>
      <c r="AT41" s="1268"/>
      <c r="AU41" s="1270"/>
      <c r="AV41" s="1262"/>
      <c r="AW41" s="1266"/>
      <c r="AX41" s="1267"/>
      <c r="AY41" s="1268"/>
      <c r="AZ41" s="29"/>
      <c r="BA41" s="1272"/>
      <c r="BB41" s="1272"/>
      <c r="BC41" s="1272"/>
      <c r="BD41" s="1272"/>
    </row>
    <row r="42" spans="1:56" ht="12.95" customHeight="1" x14ac:dyDescent="0.15">
      <c r="A42" s="29"/>
      <c r="B42" s="1312" t="s">
        <v>31</v>
      </c>
      <c r="C42" s="1287"/>
      <c r="D42" s="1287"/>
      <c r="E42" s="1287"/>
      <c r="F42" s="1287"/>
      <c r="G42" s="1287"/>
      <c r="H42" s="1287"/>
      <c r="I42" s="1288"/>
      <c r="J42" s="270"/>
      <c r="K42" s="1313">
        <f>SUM(K36:M41)</f>
        <v>2740</v>
      </c>
      <c r="L42" s="1313"/>
      <c r="M42" s="1313"/>
      <c r="N42" s="263"/>
      <c r="O42" s="270"/>
      <c r="P42" s="1313">
        <f>SUM(P36:R41)</f>
        <v>4080</v>
      </c>
      <c r="Q42" s="1313"/>
      <c r="R42" s="1313"/>
      <c r="S42" s="262"/>
      <c r="T42" s="604"/>
      <c r="U42" s="605"/>
      <c r="V42" s="1251" t="e">
        <f>SUM(V36:Y41)</f>
        <v>#REF!</v>
      </c>
      <c r="W42" s="1251"/>
      <c r="X42" s="1251"/>
      <c r="Y42" s="1251"/>
      <c r="Z42" s="605"/>
      <c r="AA42" s="606"/>
      <c r="AB42" s="598"/>
      <c r="AC42" s="1312" t="s">
        <v>74</v>
      </c>
      <c r="AD42" s="1287"/>
      <c r="AE42" s="1288"/>
      <c r="AF42" s="1316" t="e">
        <f>SUM(AF36:AJ41)</f>
        <v>#REF!</v>
      </c>
      <c r="AG42" s="1264"/>
      <c r="AH42" s="1264"/>
      <c r="AI42" s="1264"/>
      <c r="AJ42" s="1265"/>
      <c r="AK42" s="1316" t="e">
        <f>SUM(AM36:AO41)</f>
        <v>#REF!</v>
      </c>
      <c r="AL42" s="1264"/>
      <c r="AM42" s="1264"/>
      <c r="AN42" s="1264"/>
      <c r="AO42" s="1310"/>
      <c r="AP42" s="1326"/>
      <c r="AQ42" s="1264"/>
      <c r="AR42" s="1264"/>
      <c r="AS42" s="1264"/>
      <c r="AT42" s="1265"/>
      <c r="AU42" s="1316"/>
      <c r="AV42" s="1264"/>
      <c r="AW42" s="1264"/>
      <c r="AX42" s="1264"/>
      <c r="AY42" s="1265"/>
      <c r="AZ42" s="29"/>
      <c r="BA42" s="1271">
        <f>AP42+AU42</f>
        <v>0</v>
      </c>
      <c r="BB42" s="1272"/>
      <c r="BC42" s="1272"/>
      <c r="BD42" s="1272"/>
    </row>
    <row r="43" spans="1:56" ht="12.95" customHeight="1" thickBot="1" x14ac:dyDescent="0.2">
      <c r="A43" s="29"/>
      <c r="B43" s="1289"/>
      <c r="C43" s="1290"/>
      <c r="D43" s="1290"/>
      <c r="E43" s="1290"/>
      <c r="F43" s="1290"/>
      <c r="G43" s="1290"/>
      <c r="H43" s="1290"/>
      <c r="I43" s="1291"/>
      <c r="J43" s="132"/>
      <c r="K43" s="1314"/>
      <c r="L43" s="1314"/>
      <c r="M43" s="1314"/>
      <c r="N43" s="608"/>
      <c r="O43" s="132"/>
      <c r="P43" s="1314"/>
      <c r="Q43" s="1314"/>
      <c r="R43" s="1314"/>
      <c r="S43" s="609"/>
      <c r="T43" s="610"/>
      <c r="U43" s="611"/>
      <c r="V43" s="1315"/>
      <c r="W43" s="1315"/>
      <c r="X43" s="1315"/>
      <c r="Y43" s="1315"/>
      <c r="Z43" s="611"/>
      <c r="AA43" s="612"/>
      <c r="AB43" s="598"/>
      <c r="AC43" s="1289"/>
      <c r="AD43" s="1290"/>
      <c r="AE43" s="1291"/>
      <c r="AF43" s="1317"/>
      <c r="AG43" s="1267"/>
      <c r="AH43" s="1267"/>
      <c r="AI43" s="1267"/>
      <c r="AJ43" s="1268"/>
      <c r="AK43" s="1317"/>
      <c r="AL43" s="1267"/>
      <c r="AM43" s="1267"/>
      <c r="AN43" s="1267"/>
      <c r="AO43" s="1311"/>
      <c r="AP43" s="1327"/>
      <c r="AQ43" s="1267"/>
      <c r="AR43" s="1267"/>
      <c r="AS43" s="1267"/>
      <c r="AT43" s="1268"/>
      <c r="AU43" s="1317"/>
      <c r="AV43" s="1267"/>
      <c r="AW43" s="1267"/>
      <c r="AX43" s="1267"/>
      <c r="AY43" s="1268"/>
      <c r="AZ43" s="29"/>
      <c r="BA43" s="1272"/>
      <c r="BB43" s="1272"/>
      <c r="BC43" s="1272"/>
      <c r="BD43" s="1272"/>
    </row>
    <row r="44" spans="1:56" ht="12.95" customHeight="1" x14ac:dyDescent="0.15">
      <c r="A44" s="29"/>
      <c r="B44" s="23"/>
      <c r="C44" s="23"/>
      <c r="D44" s="23"/>
      <c r="E44" s="23"/>
      <c r="F44" s="23"/>
      <c r="G44" s="23"/>
      <c r="H44" s="23"/>
      <c r="I44" s="23"/>
      <c r="J44" s="13"/>
      <c r="K44" s="417"/>
      <c r="L44" s="417"/>
      <c r="M44" s="417"/>
      <c r="N44" s="13"/>
      <c r="O44" s="13"/>
      <c r="P44" s="417"/>
      <c r="Q44" s="417"/>
      <c r="R44" s="417"/>
      <c r="S44" s="13"/>
      <c r="T44" s="598"/>
      <c r="U44" s="598"/>
      <c r="V44" s="515"/>
      <c r="W44" s="515"/>
      <c r="X44" s="515"/>
      <c r="Y44" s="515"/>
      <c r="Z44" s="598"/>
      <c r="AA44" s="598"/>
      <c r="AB44" s="598"/>
      <c r="AC44" s="23"/>
      <c r="AD44" s="23"/>
      <c r="AE44" s="23"/>
      <c r="AF44" s="418"/>
      <c r="AG44" s="418"/>
      <c r="AH44" s="418"/>
      <c r="AI44" s="418"/>
      <c r="AJ44" s="418"/>
      <c r="AK44" s="418"/>
      <c r="AL44" s="418"/>
      <c r="AM44" s="418"/>
      <c r="AN44" s="418"/>
      <c r="AO44" s="418"/>
      <c r="AP44" s="29"/>
      <c r="AQ44" s="565"/>
      <c r="AR44" s="565"/>
      <c r="AS44" s="565"/>
      <c r="AT44" s="565"/>
      <c r="AU44" s="29"/>
      <c r="AV44" s="29"/>
      <c r="AW44" s="29"/>
      <c r="AX44" s="29"/>
      <c r="AY44" s="29"/>
      <c r="AZ44" s="29"/>
      <c r="BA44" s="1271"/>
      <c r="BB44" s="1272"/>
      <c r="BC44" s="1272"/>
      <c r="BD44" s="1272"/>
    </row>
    <row r="45" spans="1:56" ht="12.95" customHeight="1" thickBot="1" x14ac:dyDescent="0.2">
      <c r="A45" s="569"/>
      <c r="B45" s="569" t="s">
        <v>358</v>
      </c>
      <c r="C45" s="569"/>
      <c r="D45" s="569"/>
      <c r="E45" s="569"/>
      <c r="F45" s="569"/>
      <c r="G45" s="569"/>
      <c r="H45" s="569"/>
      <c r="I45" s="569"/>
      <c r="J45" s="569"/>
      <c r="K45" s="569"/>
      <c r="L45" s="569"/>
      <c r="M45" s="569"/>
      <c r="N45" s="569"/>
      <c r="O45" s="569"/>
      <c r="P45" s="569"/>
      <c r="Q45" s="569"/>
      <c r="R45" s="569"/>
      <c r="S45" s="569"/>
      <c r="T45" s="569"/>
      <c r="U45" s="569"/>
      <c r="V45" s="569"/>
      <c r="W45" s="569"/>
      <c r="X45" s="569"/>
      <c r="Y45" s="569"/>
      <c r="Z45" s="569"/>
      <c r="AA45" s="29"/>
      <c r="AB45" s="569"/>
      <c r="AC45" s="569"/>
      <c r="AD45" s="569"/>
      <c r="AE45" s="569"/>
      <c r="AF45" s="569"/>
      <c r="AG45" s="569"/>
      <c r="AH45" s="569"/>
      <c r="AI45" s="569"/>
      <c r="AJ45" s="29"/>
      <c r="AK45" s="593"/>
      <c r="AL45" s="593"/>
      <c r="AM45" s="593"/>
      <c r="AN45" s="593"/>
      <c r="AO45" s="593"/>
      <c r="AP45" s="29"/>
      <c r="AQ45" s="565"/>
      <c r="AR45" s="565"/>
      <c r="AS45" s="565"/>
      <c r="AT45" s="565"/>
      <c r="AU45" s="29"/>
      <c r="AV45" s="29"/>
      <c r="AW45" s="29"/>
      <c r="AX45" s="29"/>
      <c r="AY45" s="593" t="s">
        <v>232</v>
      </c>
      <c r="AZ45" s="29"/>
      <c r="BA45" s="1272"/>
      <c r="BB45" s="1272"/>
      <c r="BC45" s="1272"/>
      <c r="BD45" s="1272"/>
    </row>
    <row r="46" spans="1:56" ht="12.95" customHeight="1" x14ac:dyDescent="0.15">
      <c r="A46" s="29"/>
      <c r="B46" s="614"/>
      <c r="C46" s="1275" t="s">
        <v>233</v>
      </c>
      <c r="D46" s="1275"/>
      <c r="E46" s="1275"/>
      <c r="F46" s="1275"/>
      <c r="G46" s="1275"/>
      <c r="H46" s="1275"/>
      <c r="I46" s="595"/>
      <c r="J46" s="1276">
        <v>1000</v>
      </c>
      <c r="K46" s="1277"/>
      <c r="L46" s="1277"/>
      <c r="M46" s="1277"/>
      <c r="N46" s="1278"/>
      <c r="O46" s="1276">
        <v>1500</v>
      </c>
      <c r="P46" s="1277"/>
      <c r="Q46" s="1277"/>
      <c r="R46" s="1277"/>
      <c r="S46" s="1277"/>
      <c r="T46" s="596"/>
      <c r="U46" s="1282" t="e">
        <f>AB69</f>
        <v>#REF!</v>
      </c>
      <c r="V46" s="1282"/>
      <c r="W46" s="1282"/>
      <c r="X46" s="1282"/>
      <c r="Y46" s="1284" t="s">
        <v>234</v>
      </c>
      <c r="Z46" s="1284"/>
      <c r="AA46" s="597"/>
      <c r="AB46" s="598"/>
      <c r="AC46" s="1286" t="s">
        <v>355</v>
      </c>
      <c r="AD46" s="1287"/>
      <c r="AE46" s="1288"/>
      <c r="AF46" s="1286" t="s">
        <v>235</v>
      </c>
      <c r="AG46" s="1287"/>
      <c r="AH46" s="1287"/>
      <c r="AI46" s="1287"/>
      <c r="AJ46" s="1288"/>
      <c r="AK46" s="1292" t="s">
        <v>337</v>
      </c>
      <c r="AL46" s="1293"/>
      <c r="AM46" s="1293"/>
      <c r="AN46" s="1293"/>
      <c r="AO46" s="1294"/>
      <c r="AP46" s="1295"/>
      <c r="AQ46" s="1293"/>
      <c r="AR46" s="1293"/>
      <c r="AS46" s="1293"/>
      <c r="AT46" s="1296"/>
      <c r="AU46" s="1292"/>
      <c r="AV46" s="1293"/>
      <c r="AW46" s="1293"/>
      <c r="AX46" s="1293"/>
      <c r="AY46" s="1296"/>
      <c r="AZ46" s="29"/>
      <c r="BA46" s="1271"/>
      <c r="BB46" s="1272"/>
      <c r="BC46" s="1272"/>
      <c r="BD46" s="1272"/>
    </row>
    <row r="47" spans="1:56" ht="12.95" customHeight="1" x14ac:dyDescent="0.15">
      <c r="A47" s="29"/>
      <c r="B47" s="599"/>
      <c r="C47" s="1297" t="s">
        <v>236</v>
      </c>
      <c r="D47" s="1297"/>
      <c r="E47" s="1297"/>
      <c r="F47" s="1297"/>
      <c r="G47" s="1297"/>
      <c r="H47" s="1297"/>
      <c r="I47" s="601"/>
      <c r="J47" s="1279"/>
      <c r="K47" s="1280"/>
      <c r="L47" s="1280"/>
      <c r="M47" s="1280"/>
      <c r="N47" s="1281"/>
      <c r="O47" s="1279"/>
      <c r="P47" s="1280"/>
      <c r="Q47" s="1280"/>
      <c r="R47" s="1280"/>
      <c r="S47" s="1280"/>
      <c r="T47" s="602"/>
      <c r="U47" s="1283"/>
      <c r="V47" s="1283"/>
      <c r="W47" s="1283"/>
      <c r="X47" s="1283"/>
      <c r="Y47" s="1285"/>
      <c r="Z47" s="1285"/>
      <c r="AA47" s="603"/>
      <c r="AB47" s="598"/>
      <c r="AC47" s="1289"/>
      <c r="AD47" s="1290"/>
      <c r="AE47" s="1291"/>
      <c r="AF47" s="1289"/>
      <c r="AG47" s="1290"/>
      <c r="AH47" s="1290"/>
      <c r="AI47" s="1290"/>
      <c r="AJ47" s="1291"/>
      <c r="AK47" s="1298" t="s">
        <v>381</v>
      </c>
      <c r="AL47" s="1299"/>
      <c r="AM47" s="1299"/>
      <c r="AN47" s="1299"/>
      <c r="AO47" s="1300"/>
      <c r="AP47" s="1301"/>
      <c r="AQ47" s="1302"/>
      <c r="AR47" s="1302"/>
      <c r="AS47" s="1302"/>
      <c r="AT47" s="1303"/>
      <c r="AU47" s="1304"/>
      <c r="AV47" s="1302"/>
      <c r="AW47" s="1302"/>
      <c r="AX47" s="1302"/>
      <c r="AY47" s="1303"/>
      <c r="AZ47" s="29"/>
      <c r="BA47" s="1272"/>
      <c r="BB47" s="1272"/>
      <c r="BC47" s="1272"/>
      <c r="BD47" s="1272"/>
    </row>
    <row r="48" spans="1:56" ht="12.95" customHeight="1" x14ac:dyDescent="0.15">
      <c r="A48" s="29"/>
      <c r="B48" s="1286" t="s">
        <v>237</v>
      </c>
      <c r="C48" s="1318"/>
      <c r="D48" s="1319"/>
      <c r="E48" s="1286" t="s">
        <v>238</v>
      </c>
      <c r="F48" s="1319"/>
      <c r="G48" s="1312" t="s">
        <v>239</v>
      </c>
      <c r="H48" s="1287"/>
      <c r="I48" s="1288"/>
      <c r="J48" s="270"/>
      <c r="K48" s="1313">
        <v>160</v>
      </c>
      <c r="L48" s="1313"/>
      <c r="M48" s="1313"/>
      <c r="N48" s="263"/>
      <c r="O48" s="270"/>
      <c r="P48" s="1313">
        <v>210</v>
      </c>
      <c r="Q48" s="1313"/>
      <c r="R48" s="1313"/>
      <c r="S48" s="262"/>
      <c r="T48" s="604"/>
      <c r="U48" s="605"/>
      <c r="V48" s="1251" t="e">
        <f>IF(U46="-","-",ROUNDDOWN(K48-(($U46-$J46)*((K48-P48)/($O46-$J46))),0))</f>
        <v>#REF!</v>
      </c>
      <c r="W48" s="1251"/>
      <c r="X48" s="1251"/>
      <c r="Y48" s="1251"/>
      <c r="Z48" s="605"/>
      <c r="AA48" s="606"/>
      <c r="AB48" s="598"/>
      <c r="AC48" s="1253">
        <v>1</v>
      </c>
      <c r="AD48" s="1254"/>
      <c r="AE48" s="1255"/>
      <c r="AF48" s="1316" t="e">
        <f>IF(AC48="-","-",V48*AC48)</f>
        <v>#REF!</v>
      </c>
      <c r="AG48" s="1264"/>
      <c r="AH48" s="1264"/>
      <c r="AI48" s="1264"/>
      <c r="AJ48" s="1265"/>
      <c r="AK48" s="1306">
        <v>0.95</v>
      </c>
      <c r="AL48" s="1307"/>
      <c r="AM48" s="1264" t="e">
        <f>ROUND(AF48*AK48,0)</f>
        <v>#REF!</v>
      </c>
      <c r="AN48" s="1264"/>
      <c r="AO48" s="1310"/>
      <c r="AP48" s="1259"/>
      <c r="AQ48" s="1260"/>
      <c r="AR48" s="1263"/>
      <c r="AS48" s="1264"/>
      <c r="AT48" s="1265"/>
      <c r="AU48" s="1269"/>
      <c r="AV48" s="1260"/>
      <c r="AW48" s="1263"/>
      <c r="AX48" s="1264"/>
      <c r="AY48" s="1265"/>
      <c r="AZ48" s="29"/>
      <c r="BA48" s="1271">
        <f>AR48+AW48</f>
        <v>0</v>
      </c>
      <c r="BB48" s="1272"/>
      <c r="BC48" s="1272"/>
      <c r="BD48" s="1272"/>
    </row>
    <row r="49" spans="1:56" ht="12.95" customHeight="1" x14ac:dyDescent="0.15">
      <c r="A49" s="29"/>
      <c r="B49" s="1320"/>
      <c r="C49" s="1179"/>
      <c r="D49" s="1321"/>
      <c r="E49" s="1320"/>
      <c r="F49" s="1321"/>
      <c r="G49" s="1289"/>
      <c r="H49" s="1290"/>
      <c r="I49" s="1291"/>
      <c r="J49" s="132"/>
      <c r="K49" s="1314"/>
      <c r="L49" s="1314"/>
      <c r="M49" s="1314"/>
      <c r="N49" s="608"/>
      <c r="O49" s="132"/>
      <c r="P49" s="1314"/>
      <c r="Q49" s="1314"/>
      <c r="R49" s="1314"/>
      <c r="S49" s="609"/>
      <c r="T49" s="602"/>
      <c r="U49" s="587"/>
      <c r="V49" s="1252"/>
      <c r="W49" s="1252"/>
      <c r="X49" s="1252"/>
      <c r="Y49" s="1252"/>
      <c r="Z49" s="587"/>
      <c r="AA49" s="603"/>
      <c r="AB49" s="598"/>
      <c r="AC49" s="1256"/>
      <c r="AD49" s="1257"/>
      <c r="AE49" s="1258"/>
      <c r="AF49" s="1317"/>
      <c r="AG49" s="1267"/>
      <c r="AH49" s="1267"/>
      <c r="AI49" s="1267"/>
      <c r="AJ49" s="1268"/>
      <c r="AK49" s="1308"/>
      <c r="AL49" s="1309"/>
      <c r="AM49" s="1267"/>
      <c r="AN49" s="1267"/>
      <c r="AO49" s="1311"/>
      <c r="AP49" s="1261"/>
      <c r="AQ49" s="1262"/>
      <c r="AR49" s="1266"/>
      <c r="AS49" s="1267"/>
      <c r="AT49" s="1268"/>
      <c r="AU49" s="1270"/>
      <c r="AV49" s="1262"/>
      <c r="AW49" s="1266"/>
      <c r="AX49" s="1267"/>
      <c r="AY49" s="1268"/>
      <c r="AZ49" s="29"/>
      <c r="BA49" s="1272"/>
      <c r="BB49" s="1272"/>
      <c r="BC49" s="1272"/>
      <c r="BD49" s="1272"/>
    </row>
    <row r="50" spans="1:56" ht="12.95" customHeight="1" x14ac:dyDescent="0.15">
      <c r="A50" s="29"/>
      <c r="B50" s="1320"/>
      <c r="C50" s="1179"/>
      <c r="D50" s="1321"/>
      <c r="E50" s="1320"/>
      <c r="F50" s="1321"/>
      <c r="G50" s="1312" t="s">
        <v>117</v>
      </c>
      <c r="H50" s="1287"/>
      <c r="I50" s="1288"/>
      <c r="J50" s="270"/>
      <c r="K50" s="1313">
        <v>26</v>
      </c>
      <c r="L50" s="1313"/>
      <c r="M50" s="1313"/>
      <c r="N50" s="263"/>
      <c r="O50" s="270"/>
      <c r="P50" s="1313">
        <v>37</v>
      </c>
      <c r="Q50" s="1313"/>
      <c r="R50" s="1313"/>
      <c r="S50" s="262"/>
      <c r="T50" s="604"/>
      <c r="U50" s="605"/>
      <c r="V50" s="1251" t="e">
        <f>IF(U46="-","-",ROUNDDOWN(K50-(($U46-$J46)*((K50-P50)/($O46-$J46))),0))</f>
        <v>#REF!</v>
      </c>
      <c r="W50" s="1251"/>
      <c r="X50" s="1251"/>
      <c r="Y50" s="1251"/>
      <c r="Z50" s="605"/>
      <c r="AA50" s="606"/>
      <c r="AB50" s="598"/>
      <c r="AC50" s="1253">
        <v>1</v>
      </c>
      <c r="AD50" s="1254"/>
      <c r="AE50" s="1255"/>
      <c r="AF50" s="1325" t="e">
        <f>IF(AC50="-","-",V50*AC50)</f>
        <v>#REF!</v>
      </c>
      <c r="AG50" s="1325"/>
      <c r="AH50" s="1325"/>
      <c r="AI50" s="1325"/>
      <c r="AJ50" s="1325"/>
      <c r="AK50" s="1306">
        <v>0.75</v>
      </c>
      <c r="AL50" s="1307"/>
      <c r="AM50" s="1264" t="e">
        <f>ROUND(AF50*AK50,0)</f>
        <v>#REF!</v>
      </c>
      <c r="AN50" s="1264"/>
      <c r="AO50" s="1310"/>
      <c r="AP50" s="1259"/>
      <c r="AQ50" s="1260"/>
      <c r="AR50" s="1263"/>
      <c r="AS50" s="1264"/>
      <c r="AT50" s="1265"/>
      <c r="AU50" s="1269"/>
      <c r="AV50" s="1260"/>
      <c r="AW50" s="1263"/>
      <c r="AX50" s="1264"/>
      <c r="AY50" s="1265"/>
      <c r="AZ50" s="29"/>
      <c r="BA50" s="1271">
        <f>AR50+AW50</f>
        <v>0</v>
      </c>
      <c r="BB50" s="1272"/>
      <c r="BC50" s="1272"/>
      <c r="BD50" s="1272"/>
    </row>
    <row r="51" spans="1:56" ht="12.95" customHeight="1" x14ac:dyDescent="0.15">
      <c r="A51" s="29"/>
      <c r="B51" s="1320"/>
      <c r="C51" s="1179"/>
      <c r="D51" s="1321"/>
      <c r="E51" s="1320"/>
      <c r="F51" s="1321"/>
      <c r="G51" s="1289"/>
      <c r="H51" s="1290"/>
      <c r="I51" s="1291"/>
      <c r="J51" s="132"/>
      <c r="K51" s="1314"/>
      <c r="L51" s="1314"/>
      <c r="M51" s="1314"/>
      <c r="N51" s="608"/>
      <c r="O51" s="132"/>
      <c r="P51" s="1314"/>
      <c r="Q51" s="1314"/>
      <c r="R51" s="1314"/>
      <c r="S51" s="609"/>
      <c r="T51" s="602"/>
      <c r="U51" s="587"/>
      <c r="V51" s="1252"/>
      <c r="W51" s="1252"/>
      <c r="X51" s="1252"/>
      <c r="Y51" s="1252"/>
      <c r="Z51" s="587"/>
      <c r="AA51" s="603"/>
      <c r="AB51" s="598"/>
      <c r="AC51" s="1256"/>
      <c r="AD51" s="1257"/>
      <c r="AE51" s="1258"/>
      <c r="AF51" s="1325"/>
      <c r="AG51" s="1325"/>
      <c r="AH51" s="1325"/>
      <c r="AI51" s="1325"/>
      <c r="AJ51" s="1325"/>
      <c r="AK51" s="1308"/>
      <c r="AL51" s="1309"/>
      <c r="AM51" s="1267"/>
      <c r="AN51" s="1267"/>
      <c r="AO51" s="1311"/>
      <c r="AP51" s="1261"/>
      <c r="AQ51" s="1262"/>
      <c r="AR51" s="1266"/>
      <c r="AS51" s="1267"/>
      <c r="AT51" s="1268"/>
      <c r="AU51" s="1270"/>
      <c r="AV51" s="1262"/>
      <c r="AW51" s="1266"/>
      <c r="AX51" s="1267"/>
      <c r="AY51" s="1268"/>
      <c r="AZ51" s="29"/>
      <c r="BA51" s="1272"/>
      <c r="BB51" s="1272"/>
      <c r="BC51" s="1272"/>
      <c r="BD51" s="1272"/>
    </row>
    <row r="52" spans="1:56" ht="12.95" customHeight="1" x14ac:dyDescent="0.15">
      <c r="A52" s="29"/>
      <c r="B52" s="1320"/>
      <c r="C52" s="1179"/>
      <c r="D52" s="1321"/>
      <c r="E52" s="1320"/>
      <c r="F52" s="1321"/>
      <c r="G52" s="1312" t="s">
        <v>240</v>
      </c>
      <c r="H52" s="1287"/>
      <c r="I52" s="1288"/>
      <c r="J52" s="270"/>
      <c r="K52" s="1313">
        <v>46</v>
      </c>
      <c r="L52" s="1313"/>
      <c r="M52" s="1313"/>
      <c r="N52" s="263"/>
      <c r="O52" s="270"/>
      <c r="P52" s="1313">
        <v>58</v>
      </c>
      <c r="Q52" s="1313"/>
      <c r="R52" s="1313"/>
      <c r="S52" s="262"/>
      <c r="T52" s="604"/>
      <c r="U52" s="605"/>
      <c r="V52" s="1251" t="e">
        <f>IF(U46="-","-",ROUNDDOWN(K52-(($U46-$J46)*((K52-P52)/($O46-$J46))),0))</f>
        <v>#REF!</v>
      </c>
      <c r="W52" s="1251"/>
      <c r="X52" s="1251"/>
      <c r="Y52" s="1251"/>
      <c r="Z52" s="605"/>
      <c r="AA52" s="606"/>
      <c r="AB52" s="598"/>
      <c r="AC52" s="1253">
        <v>1</v>
      </c>
      <c r="AD52" s="1254"/>
      <c r="AE52" s="1255"/>
      <c r="AF52" s="1325" t="e">
        <f>IF(AC52="-","-",V52*AC52)</f>
        <v>#REF!</v>
      </c>
      <c r="AG52" s="1325"/>
      <c r="AH52" s="1325"/>
      <c r="AI52" s="1325"/>
      <c r="AJ52" s="1325"/>
      <c r="AK52" s="1306">
        <v>0.8</v>
      </c>
      <c r="AL52" s="1307"/>
      <c r="AM52" s="1264" t="e">
        <f>ROUND(AF52*AK52,0)</f>
        <v>#REF!</v>
      </c>
      <c r="AN52" s="1264"/>
      <c r="AO52" s="1310"/>
      <c r="AP52" s="1259"/>
      <c r="AQ52" s="1260"/>
      <c r="AR52" s="1263"/>
      <c r="AS52" s="1264"/>
      <c r="AT52" s="1265"/>
      <c r="AU52" s="1269"/>
      <c r="AV52" s="1260"/>
      <c r="AW52" s="1263"/>
      <c r="AX52" s="1264"/>
      <c r="AY52" s="1265"/>
      <c r="AZ52" s="29"/>
      <c r="BA52" s="1271">
        <f>AR52+AW52</f>
        <v>0</v>
      </c>
      <c r="BB52" s="1272"/>
      <c r="BC52" s="1272"/>
      <c r="BD52" s="1272"/>
    </row>
    <row r="53" spans="1:56" ht="12.95" customHeight="1" x14ac:dyDescent="0.15">
      <c r="A53" s="29"/>
      <c r="B53" s="1322"/>
      <c r="C53" s="1323"/>
      <c r="D53" s="1324"/>
      <c r="E53" s="1322"/>
      <c r="F53" s="1324"/>
      <c r="G53" s="1289"/>
      <c r="H53" s="1290"/>
      <c r="I53" s="1291"/>
      <c r="J53" s="132"/>
      <c r="K53" s="1314"/>
      <c r="L53" s="1314"/>
      <c r="M53" s="1314"/>
      <c r="N53" s="608"/>
      <c r="O53" s="132"/>
      <c r="P53" s="1314"/>
      <c r="Q53" s="1314"/>
      <c r="R53" s="1314"/>
      <c r="S53" s="609"/>
      <c r="T53" s="602"/>
      <c r="U53" s="587"/>
      <c r="V53" s="1252"/>
      <c r="W53" s="1252"/>
      <c r="X53" s="1252"/>
      <c r="Y53" s="1252"/>
      <c r="Z53" s="587"/>
      <c r="AA53" s="603"/>
      <c r="AB53" s="598"/>
      <c r="AC53" s="1256"/>
      <c r="AD53" s="1257"/>
      <c r="AE53" s="1258"/>
      <c r="AF53" s="1325"/>
      <c r="AG53" s="1325"/>
      <c r="AH53" s="1325"/>
      <c r="AI53" s="1325"/>
      <c r="AJ53" s="1325"/>
      <c r="AK53" s="1308"/>
      <c r="AL53" s="1309"/>
      <c r="AM53" s="1267"/>
      <c r="AN53" s="1267"/>
      <c r="AO53" s="1311"/>
      <c r="AP53" s="1261"/>
      <c r="AQ53" s="1262"/>
      <c r="AR53" s="1266"/>
      <c r="AS53" s="1267"/>
      <c r="AT53" s="1268"/>
      <c r="AU53" s="1270"/>
      <c r="AV53" s="1262"/>
      <c r="AW53" s="1266"/>
      <c r="AX53" s="1267"/>
      <c r="AY53" s="1268"/>
      <c r="AZ53" s="29"/>
      <c r="BA53" s="1272"/>
      <c r="BB53" s="1272"/>
      <c r="BC53" s="1272"/>
      <c r="BD53" s="1272"/>
    </row>
    <row r="54" spans="1:56" ht="12.95" customHeight="1" x14ac:dyDescent="0.15">
      <c r="A54" s="29"/>
      <c r="B54" s="1312" t="s">
        <v>31</v>
      </c>
      <c r="C54" s="1287"/>
      <c r="D54" s="1287"/>
      <c r="E54" s="1287"/>
      <c r="F54" s="1287"/>
      <c r="G54" s="1287"/>
      <c r="H54" s="1287"/>
      <c r="I54" s="1288"/>
      <c r="J54" s="270"/>
      <c r="K54" s="1313">
        <f>SUM(K48:M53)</f>
        <v>232</v>
      </c>
      <c r="L54" s="1313"/>
      <c r="M54" s="1313"/>
      <c r="N54" s="263"/>
      <c r="O54" s="270"/>
      <c r="P54" s="1313">
        <f>SUM(P48:R53)</f>
        <v>305</v>
      </c>
      <c r="Q54" s="1313"/>
      <c r="R54" s="1313"/>
      <c r="S54" s="262"/>
      <c r="T54" s="604"/>
      <c r="U54" s="605"/>
      <c r="V54" s="1251" t="e">
        <f>SUM(V48:Y53)</f>
        <v>#REF!</v>
      </c>
      <c r="W54" s="1251"/>
      <c r="X54" s="1251"/>
      <c r="Y54" s="1251"/>
      <c r="Z54" s="605"/>
      <c r="AA54" s="606"/>
      <c r="AB54" s="598"/>
      <c r="AC54" s="1312" t="s">
        <v>74</v>
      </c>
      <c r="AD54" s="1287"/>
      <c r="AE54" s="1288"/>
      <c r="AF54" s="1316" t="e">
        <f>SUM(AF48:AJ53)</f>
        <v>#REF!</v>
      </c>
      <c r="AG54" s="1264"/>
      <c r="AH54" s="1264"/>
      <c r="AI54" s="1264"/>
      <c r="AJ54" s="1265"/>
      <c r="AK54" s="1316" t="e">
        <f>SUM(AM48:AO53)</f>
        <v>#REF!</v>
      </c>
      <c r="AL54" s="1264"/>
      <c r="AM54" s="1264"/>
      <c r="AN54" s="1264"/>
      <c r="AO54" s="1310"/>
      <c r="AP54" s="1326"/>
      <c r="AQ54" s="1264"/>
      <c r="AR54" s="1264"/>
      <c r="AS54" s="1264"/>
      <c r="AT54" s="1265"/>
      <c r="AU54" s="1316"/>
      <c r="AV54" s="1264"/>
      <c r="AW54" s="1264"/>
      <c r="AX54" s="1264"/>
      <c r="AY54" s="1265"/>
      <c r="AZ54" s="29"/>
      <c r="BA54" s="1271">
        <f>AP54+AU54</f>
        <v>0</v>
      </c>
      <c r="BB54" s="1272"/>
      <c r="BC54" s="1272"/>
      <c r="BD54" s="1272"/>
    </row>
    <row r="55" spans="1:56" ht="12.95" customHeight="1" thickBot="1" x14ac:dyDescent="0.2">
      <c r="A55" s="29"/>
      <c r="B55" s="1289"/>
      <c r="C55" s="1290"/>
      <c r="D55" s="1290"/>
      <c r="E55" s="1290"/>
      <c r="F55" s="1290"/>
      <c r="G55" s="1290"/>
      <c r="H55" s="1290"/>
      <c r="I55" s="1291"/>
      <c r="J55" s="132"/>
      <c r="K55" s="1314"/>
      <c r="L55" s="1314"/>
      <c r="M55" s="1314"/>
      <c r="N55" s="608"/>
      <c r="O55" s="132"/>
      <c r="P55" s="1314"/>
      <c r="Q55" s="1314"/>
      <c r="R55" s="1314"/>
      <c r="S55" s="609"/>
      <c r="T55" s="610"/>
      <c r="U55" s="611"/>
      <c r="V55" s="1315"/>
      <c r="W55" s="1315"/>
      <c r="X55" s="1315"/>
      <c r="Y55" s="1315"/>
      <c r="Z55" s="611"/>
      <c r="AA55" s="612"/>
      <c r="AB55" s="598"/>
      <c r="AC55" s="1289"/>
      <c r="AD55" s="1290"/>
      <c r="AE55" s="1291"/>
      <c r="AF55" s="1317"/>
      <c r="AG55" s="1267"/>
      <c r="AH55" s="1267"/>
      <c r="AI55" s="1267"/>
      <c r="AJ55" s="1268"/>
      <c r="AK55" s="1317"/>
      <c r="AL55" s="1267"/>
      <c r="AM55" s="1267"/>
      <c r="AN55" s="1267"/>
      <c r="AO55" s="1311"/>
      <c r="AP55" s="1327"/>
      <c r="AQ55" s="1267"/>
      <c r="AR55" s="1267"/>
      <c r="AS55" s="1267"/>
      <c r="AT55" s="1268"/>
      <c r="AU55" s="1317"/>
      <c r="AV55" s="1267"/>
      <c r="AW55" s="1267"/>
      <c r="AX55" s="1267"/>
      <c r="AY55" s="1268"/>
      <c r="AZ55" s="29"/>
      <c r="BA55" s="1272"/>
      <c r="BB55" s="1272"/>
      <c r="BC55" s="1272"/>
      <c r="BD55" s="1272"/>
    </row>
    <row r="56" spans="1:56" ht="12.95" customHeight="1" x14ac:dyDescent="0.15">
      <c r="A56" s="29"/>
      <c r="B56" s="23"/>
      <c r="C56" s="23"/>
      <c r="D56" s="23"/>
      <c r="E56" s="23"/>
      <c r="F56" s="23"/>
      <c r="G56" s="23"/>
      <c r="H56" s="23"/>
      <c r="I56" s="23"/>
      <c r="J56" s="13"/>
      <c r="K56" s="417"/>
      <c r="L56" s="417"/>
      <c r="M56" s="417"/>
      <c r="N56" s="13"/>
      <c r="O56" s="13"/>
      <c r="P56" s="417"/>
      <c r="Q56" s="417"/>
      <c r="R56" s="417"/>
      <c r="S56" s="13"/>
      <c r="T56" s="598"/>
      <c r="U56" s="598"/>
      <c r="V56" s="515"/>
      <c r="W56" s="515"/>
      <c r="X56" s="515"/>
      <c r="Y56" s="515"/>
      <c r="Z56" s="598"/>
      <c r="AA56" s="598"/>
      <c r="AB56" s="598"/>
      <c r="AC56" s="23"/>
      <c r="AD56" s="23"/>
      <c r="AE56" s="23"/>
      <c r="AF56" s="418"/>
      <c r="AG56" s="418"/>
      <c r="AH56" s="418"/>
      <c r="AI56" s="418"/>
      <c r="AJ56" s="418"/>
      <c r="AK56" s="418"/>
      <c r="AL56" s="418"/>
      <c r="AM56" s="418"/>
      <c r="AN56" s="418"/>
      <c r="AO56" s="418"/>
      <c r="AP56" s="29"/>
      <c r="AQ56" s="565"/>
      <c r="AR56" s="565"/>
      <c r="AS56" s="565"/>
      <c r="AT56" s="565"/>
      <c r="AU56" s="29"/>
      <c r="AV56" s="29"/>
      <c r="AW56" s="29"/>
      <c r="AX56" s="29"/>
      <c r="AY56" s="29"/>
      <c r="AZ56" s="29"/>
      <c r="BA56" s="1271"/>
      <c r="BB56" s="1272"/>
      <c r="BC56" s="1272"/>
      <c r="BD56" s="1272"/>
    </row>
    <row r="57" spans="1:56" ht="14.25" thickBot="1" x14ac:dyDescent="0.2">
      <c r="A57" s="29"/>
      <c r="B57" s="613"/>
      <c r="C57" s="613"/>
      <c r="D57" s="613"/>
      <c r="E57" s="613"/>
      <c r="F57" s="613"/>
      <c r="G57" s="613"/>
      <c r="H57" s="613"/>
      <c r="I57" s="613"/>
      <c r="J57" s="613"/>
      <c r="K57" s="613"/>
      <c r="L57" s="613"/>
      <c r="M57" s="613"/>
      <c r="N57" s="613"/>
      <c r="O57" s="613"/>
      <c r="P57" s="613"/>
      <c r="Q57" s="613"/>
      <c r="R57" s="613"/>
      <c r="S57" s="613"/>
      <c r="T57" s="613"/>
      <c r="U57" s="613"/>
      <c r="V57" s="613"/>
      <c r="W57" s="613"/>
      <c r="X57" s="613"/>
      <c r="Y57" s="613"/>
      <c r="Z57" s="613"/>
      <c r="AA57" s="613"/>
      <c r="AB57" s="613"/>
      <c r="AC57" s="613"/>
      <c r="AD57" s="613"/>
      <c r="AE57" s="613"/>
      <c r="AF57" s="613"/>
      <c r="AG57" s="613"/>
      <c r="AH57" s="613"/>
      <c r="AI57" s="613"/>
      <c r="AJ57" s="613"/>
      <c r="AK57" s="613"/>
      <c r="AL57" s="613"/>
      <c r="AM57" s="613"/>
      <c r="AN57" s="613"/>
      <c r="AO57" s="613"/>
      <c r="AP57" s="29"/>
      <c r="AQ57" s="565"/>
      <c r="AR57" s="565"/>
      <c r="AS57" s="565"/>
      <c r="AT57" s="565"/>
      <c r="AU57" s="29"/>
      <c r="AV57" s="29"/>
      <c r="AW57" s="29"/>
      <c r="AX57" s="29"/>
      <c r="AY57" s="29"/>
      <c r="AZ57" s="29"/>
    </row>
    <row r="58" spans="1:56" ht="14.25" thickBot="1" x14ac:dyDescent="0.2">
      <c r="A58" s="29"/>
      <c r="B58" s="613"/>
      <c r="C58" s="613"/>
      <c r="D58" s="613"/>
      <c r="E58" s="613"/>
      <c r="F58" s="613"/>
      <c r="G58" s="613"/>
      <c r="H58" s="613"/>
      <c r="I58" s="613"/>
      <c r="J58" s="613"/>
      <c r="K58" s="613"/>
      <c r="L58" s="613"/>
      <c r="M58" s="613"/>
      <c r="N58" s="613"/>
      <c r="O58" s="613"/>
      <c r="P58" s="613"/>
      <c r="Q58" s="613"/>
      <c r="R58" s="613"/>
      <c r="S58" s="613"/>
      <c r="T58" s="613"/>
      <c r="U58" s="613"/>
      <c r="V58" s="613"/>
      <c r="W58" s="613"/>
      <c r="X58" s="613"/>
      <c r="Y58" s="613"/>
      <c r="Z58" s="613"/>
      <c r="AA58" s="613"/>
      <c r="AB58" s="613"/>
      <c r="AC58" s="1337"/>
      <c r="AD58" s="1337"/>
      <c r="AE58" s="1337"/>
      <c r="AF58" s="1337"/>
      <c r="AG58" s="1337"/>
      <c r="AH58" s="1337"/>
      <c r="AI58" s="1337"/>
      <c r="AJ58" s="1337"/>
      <c r="AK58" s="1338" t="s">
        <v>347</v>
      </c>
      <c r="AL58" s="1339"/>
      <c r="AM58" s="1339"/>
      <c r="AN58" s="1339"/>
      <c r="AO58" s="1340"/>
      <c r="AP58" s="1341"/>
      <c r="AQ58" s="1342"/>
      <c r="AR58" s="1342"/>
      <c r="AS58" s="1342"/>
      <c r="AT58" s="1343"/>
      <c r="AU58" s="1341"/>
      <c r="AV58" s="1342"/>
      <c r="AW58" s="1342"/>
      <c r="AX58" s="1342"/>
      <c r="AY58" s="1343"/>
      <c r="AZ58" s="29"/>
    </row>
    <row r="59" spans="1:56" x14ac:dyDescent="0.15">
      <c r="A59" s="29"/>
      <c r="B59" s="23"/>
      <c r="C59" s="23"/>
      <c r="D59" s="23"/>
      <c r="E59" s="23"/>
      <c r="F59" s="23"/>
      <c r="G59" s="23"/>
      <c r="H59" s="23"/>
      <c r="I59" s="23"/>
      <c r="J59" s="13"/>
      <c r="K59" s="417"/>
      <c r="L59" s="417"/>
      <c r="M59" s="417"/>
      <c r="N59" s="13"/>
      <c r="O59" s="13"/>
      <c r="P59" s="417"/>
      <c r="Q59" s="417"/>
      <c r="R59" s="417"/>
      <c r="S59" s="13"/>
      <c r="T59" s="598"/>
      <c r="U59" s="598"/>
      <c r="V59" s="515"/>
      <c r="W59" s="515"/>
      <c r="X59" s="515"/>
      <c r="Y59" s="515"/>
      <c r="Z59" s="598"/>
      <c r="AA59" s="598"/>
      <c r="AB59" s="598"/>
      <c r="AC59" s="1347" t="s">
        <v>338</v>
      </c>
      <c r="AD59" s="1348"/>
      <c r="AE59" s="1348"/>
      <c r="AF59" s="1351" t="e">
        <f>SUM(AF18,AF30,AF42,AF54)</f>
        <v>#REF!</v>
      </c>
      <c r="AG59" s="1352"/>
      <c r="AH59" s="1352"/>
      <c r="AI59" s="1352"/>
      <c r="AJ59" s="1352"/>
      <c r="AK59" s="1355" t="e">
        <f>SUM(AK18,AK30,AK42,AK54)</f>
        <v>#REF!</v>
      </c>
      <c r="AL59" s="1356"/>
      <c r="AM59" s="1356"/>
      <c r="AN59" s="1356"/>
      <c r="AO59" s="1357"/>
      <c r="AP59" s="1361"/>
      <c r="AQ59" s="1362"/>
      <c r="AR59" s="1362"/>
      <c r="AS59" s="1362"/>
      <c r="AT59" s="1363"/>
      <c r="AU59" s="1361"/>
      <c r="AV59" s="1362"/>
      <c r="AW59" s="1362"/>
      <c r="AX59" s="1362"/>
      <c r="AY59" s="1363"/>
      <c r="AZ59" s="29"/>
    </row>
    <row r="60" spans="1:56" ht="14.25" thickBot="1" x14ac:dyDescent="0.2">
      <c r="A60" s="29"/>
      <c r="B60" s="23"/>
      <c r="C60" s="23"/>
      <c r="D60" s="23"/>
      <c r="E60" s="23"/>
      <c r="F60" s="23"/>
      <c r="G60" s="23"/>
      <c r="H60" s="23"/>
      <c r="I60" s="23"/>
      <c r="J60" s="13"/>
      <c r="K60" s="417"/>
      <c r="L60" s="417"/>
      <c r="M60" s="417"/>
      <c r="N60" s="13"/>
      <c r="O60" s="13"/>
      <c r="P60" s="417"/>
      <c r="Q60" s="417"/>
      <c r="R60" s="417"/>
      <c r="S60" s="13"/>
      <c r="T60" s="598"/>
      <c r="U60" s="598"/>
      <c r="V60" s="515"/>
      <c r="W60" s="515"/>
      <c r="X60" s="515"/>
      <c r="Y60" s="515"/>
      <c r="Z60" s="598"/>
      <c r="AA60" s="598"/>
      <c r="AB60" s="598"/>
      <c r="AC60" s="1349"/>
      <c r="AD60" s="1350"/>
      <c r="AE60" s="1350"/>
      <c r="AF60" s="1353"/>
      <c r="AG60" s="1354"/>
      <c r="AH60" s="1354"/>
      <c r="AI60" s="1354"/>
      <c r="AJ60" s="1354"/>
      <c r="AK60" s="1358"/>
      <c r="AL60" s="1359"/>
      <c r="AM60" s="1359"/>
      <c r="AN60" s="1359"/>
      <c r="AO60" s="1360"/>
      <c r="AP60" s="1364"/>
      <c r="AQ60" s="1365"/>
      <c r="AR60" s="1365"/>
      <c r="AS60" s="1365"/>
      <c r="AT60" s="1366"/>
      <c r="AU60" s="1364"/>
      <c r="AV60" s="1365"/>
      <c r="AW60" s="1365"/>
      <c r="AX60" s="1365"/>
      <c r="AY60" s="1366"/>
      <c r="AZ60" s="29"/>
    </row>
    <row r="61" spans="1:56" ht="12.95" customHeight="1" x14ac:dyDescent="0.15">
      <c r="A61" s="29"/>
      <c r="B61" s="23"/>
      <c r="C61" s="23"/>
      <c r="D61" s="23"/>
      <c r="E61" s="23"/>
      <c r="F61" s="23"/>
      <c r="G61" s="23"/>
      <c r="H61" s="23"/>
      <c r="I61" s="23"/>
      <c r="J61" s="23"/>
      <c r="K61" s="23"/>
      <c r="L61" s="13"/>
      <c r="M61" s="417"/>
      <c r="N61" s="417"/>
      <c r="O61" s="417"/>
      <c r="P61" s="13"/>
      <c r="Q61" s="13"/>
      <c r="R61" s="417"/>
      <c r="S61" s="417"/>
      <c r="T61" s="417"/>
      <c r="U61" s="13"/>
      <c r="V61" s="598"/>
      <c r="W61" s="598"/>
      <c r="X61" s="515"/>
      <c r="Y61" s="515"/>
      <c r="Z61" s="515"/>
      <c r="AA61" s="515"/>
      <c r="AB61" s="598"/>
      <c r="AC61" s="607"/>
      <c r="AD61" s="607"/>
      <c r="AE61" s="607"/>
      <c r="AF61" s="544"/>
      <c r="AG61" s="544"/>
      <c r="AH61" s="544"/>
      <c r="AI61" s="544"/>
      <c r="AJ61" s="544"/>
      <c r="AK61" s="544"/>
      <c r="AL61" s="544"/>
      <c r="AM61" s="544"/>
      <c r="AN61" s="544"/>
      <c r="AO61" s="544"/>
      <c r="AP61" s="544"/>
      <c r="AQ61" s="544"/>
      <c r="AR61" s="544"/>
      <c r="AS61" s="544"/>
      <c r="AT61" s="544"/>
      <c r="AU61" s="29"/>
      <c r="AV61" s="29"/>
      <c r="AW61" s="29"/>
      <c r="AX61" s="29"/>
      <c r="AY61" s="29"/>
      <c r="AZ61" s="29"/>
    </row>
    <row r="62" spans="1:56" ht="12.95" customHeight="1" x14ac:dyDescent="0.15">
      <c r="A62" s="29"/>
      <c r="B62" s="578" t="s">
        <v>339</v>
      </c>
      <c r="C62" s="615" t="s">
        <v>340</v>
      </c>
      <c r="D62" s="23"/>
      <c r="E62" s="23"/>
      <c r="F62" s="23"/>
      <c r="G62" s="23"/>
      <c r="H62" s="23"/>
      <c r="I62" s="23"/>
      <c r="J62" s="23"/>
      <c r="K62" s="23"/>
      <c r="L62" s="13"/>
      <c r="M62" s="417"/>
      <c r="N62" s="417"/>
      <c r="O62" s="417"/>
      <c r="P62" s="13"/>
      <c r="Q62" s="13"/>
      <c r="R62" s="417"/>
      <c r="S62" s="417"/>
      <c r="T62" s="417"/>
      <c r="U62" s="13"/>
      <c r="V62" s="598"/>
      <c r="W62" s="598"/>
      <c r="X62" s="515"/>
      <c r="Y62" s="515"/>
      <c r="Z62" s="515"/>
      <c r="AA62" s="515"/>
      <c r="AB62" s="598"/>
      <c r="AC62" s="607"/>
      <c r="AD62" s="607"/>
      <c r="AE62" s="607"/>
      <c r="AF62" s="544"/>
      <c r="AG62" s="544"/>
      <c r="AH62" s="544"/>
      <c r="AI62" s="544"/>
      <c r="AJ62" s="544"/>
      <c r="AK62" s="544"/>
      <c r="AL62" s="544"/>
      <c r="AM62" s="544"/>
      <c r="AN62" s="544"/>
      <c r="AO62" s="544"/>
      <c r="AP62" s="544"/>
      <c r="AQ62" s="544"/>
      <c r="AR62" s="544"/>
      <c r="AS62" s="544"/>
      <c r="AT62" s="544"/>
      <c r="AU62" s="29"/>
      <c r="AV62" s="29"/>
      <c r="AW62" s="29"/>
      <c r="AX62" s="29"/>
      <c r="AY62" s="29"/>
      <c r="AZ62" s="29"/>
    </row>
    <row r="63" spans="1:56" ht="12.95" customHeight="1" x14ac:dyDescent="0.15">
      <c r="A63" s="29"/>
      <c r="B63" s="616" t="s">
        <v>241</v>
      </c>
      <c r="C63" s="617" t="s">
        <v>341</v>
      </c>
      <c r="D63" s="618"/>
      <c r="E63" s="618"/>
      <c r="F63" s="618"/>
      <c r="G63" s="618"/>
      <c r="H63" s="618"/>
      <c r="I63" s="618"/>
      <c r="J63" s="618"/>
      <c r="K63" s="618"/>
      <c r="L63" s="619"/>
      <c r="M63" s="562"/>
      <c r="N63" s="562"/>
      <c r="O63" s="562"/>
      <c r="P63" s="619"/>
      <c r="Q63" s="619"/>
      <c r="R63" s="562"/>
      <c r="S63" s="562"/>
      <c r="T63" s="562"/>
      <c r="U63" s="619"/>
      <c r="V63" s="620"/>
      <c r="W63" s="620"/>
      <c r="X63" s="563"/>
      <c r="Y63" s="563"/>
      <c r="Z63" s="563"/>
      <c r="AA63" s="563"/>
      <c r="AB63" s="620"/>
      <c r="AC63" s="621"/>
      <c r="AD63" s="621"/>
      <c r="AE63" s="621"/>
      <c r="AF63" s="564"/>
      <c r="AG63" s="564"/>
      <c r="AH63" s="564"/>
      <c r="AI63" s="564"/>
      <c r="AJ63" s="564"/>
      <c r="AK63" s="564"/>
      <c r="AL63" s="564"/>
      <c r="AM63" s="564"/>
      <c r="AN63" s="564"/>
      <c r="AO63" s="564"/>
      <c r="AP63" s="564"/>
      <c r="AQ63" s="564"/>
      <c r="AR63" s="564"/>
      <c r="AS63" s="564"/>
      <c r="AT63" s="564"/>
      <c r="AU63" s="622"/>
      <c r="AV63" s="622"/>
      <c r="AW63" s="622"/>
      <c r="AX63" s="29"/>
      <c r="AY63" s="29"/>
      <c r="AZ63" s="29"/>
    </row>
    <row r="64" spans="1:56" ht="12.95" customHeight="1" x14ac:dyDescent="0.15">
      <c r="A64" s="29"/>
      <c r="B64" s="623"/>
      <c r="C64" s="269"/>
      <c r="D64" s="269"/>
      <c r="E64" s="269"/>
      <c r="F64" s="269"/>
      <c r="G64" s="624"/>
      <c r="H64" s="269"/>
      <c r="I64" s="269"/>
      <c r="J64" s="1373" t="s">
        <v>359</v>
      </c>
      <c r="K64" s="1373"/>
      <c r="L64" s="1373"/>
      <c r="M64" s="1373"/>
      <c r="N64" s="1373"/>
      <c r="O64" s="1374"/>
      <c r="P64" s="1375" t="s">
        <v>366</v>
      </c>
      <c r="Q64" s="1376"/>
      <c r="R64" s="1376"/>
      <c r="S64" s="1377"/>
      <c r="T64" s="1378" t="s">
        <v>367</v>
      </c>
      <c r="U64" s="1376"/>
      <c r="V64" s="1376"/>
      <c r="W64" s="1377"/>
      <c r="X64" s="1378" t="s">
        <v>368</v>
      </c>
      <c r="Y64" s="1376"/>
      <c r="Z64" s="1376"/>
      <c r="AA64" s="1377"/>
      <c r="AB64" s="1378" t="s">
        <v>369</v>
      </c>
      <c r="AC64" s="1376"/>
      <c r="AD64" s="1376"/>
      <c r="AE64" s="1377"/>
      <c r="AF64" s="1378"/>
      <c r="AG64" s="1376"/>
      <c r="AH64" s="1376"/>
      <c r="AI64" s="1377"/>
      <c r="AJ64" s="1328"/>
      <c r="AK64" s="1329"/>
      <c r="AL64" s="1329"/>
      <c r="AM64" s="1330"/>
      <c r="AN64" s="1328"/>
      <c r="AO64" s="1329"/>
      <c r="AP64" s="1329"/>
      <c r="AQ64" s="1330"/>
      <c r="AR64" s="1328"/>
      <c r="AS64" s="1329"/>
      <c r="AT64" s="1329"/>
      <c r="AU64" s="1330"/>
      <c r="AV64" s="1328"/>
      <c r="AW64" s="1329"/>
      <c r="AX64" s="1329"/>
      <c r="AY64" s="1330"/>
      <c r="AZ64" s="29"/>
    </row>
    <row r="65" spans="1:52" s="557" customFormat="1" ht="12.95" customHeight="1" thickBot="1" x14ac:dyDescent="0.2">
      <c r="A65" s="29"/>
      <c r="B65" s="1367" t="s">
        <v>360</v>
      </c>
      <c r="C65" s="1368"/>
      <c r="D65" s="1368"/>
      <c r="E65" s="1368"/>
      <c r="F65" s="1368"/>
      <c r="G65" s="625"/>
      <c r="H65" s="626"/>
      <c r="I65" s="626"/>
      <c r="J65" s="626"/>
      <c r="K65" s="626"/>
      <c r="L65" s="626"/>
      <c r="M65" s="545"/>
      <c r="N65" s="545"/>
      <c r="O65" s="546"/>
      <c r="P65" s="1369" t="e">
        <f>#REF!</f>
        <v>#REF!</v>
      </c>
      <c r="Q65" s="1370"/>
      <c r="R65" s="1370"/>
      <c r="S65" s="1371"/>
      <c r="T65" s="1372" t="e">
        <f>#REF!</f>
        <v>#REF!</v>
      </c>
      <c r="U65" s="1370"/>
      <c r="V65" s="1370"/>
      <c r="W65" s="1371"/>
      <c r="X65" s="1372" t="e">
        <f>#REF!</f>
        <v>#REF!</v>
      </c>
      <c r="Y65" s="1370"/>
      <c r="Z65" s="1370"/>
      <c r="AA65" s="1371"/>
      <c r="AB65" s="1372" t="e">
        <f>#REF!</f>
        <v>#REF!</v>
      </c>
      <c r="AC65" s="1370"/>
      <c r="AD65" s="1370"/>
      <c r="AE65" s="1371"/>
      <c r="AF65" s="1372"/>
      <c r="AG65" s="1370"/>
      <c r="AH65" s="1370"/>
      <c r="AI65" s="1371"/>
      <c r="AJ65" s="1372"/>
      <c r="AK65" s="1370"/>
      <c r="AL65" s="1370"/>
      <c r="AM65" s="1371"/>
      <c r="AN65" s="1372"/>
      <c r="AO65" s="1370"/>
      <c r="AP65" s="1370"/>
      <c r="AQ65" s="1371"/>
      <c r="AR65" s="1372"/>
      <c r="AS65" s="1370"/>
      <c r="AT65" s="1370"/>
      <c r="AU65" s="1371"/>
      <c r="AV65" s="1372"/>
      <c r="AW65" s="1370"/>
      <c r="AX65" s="1370"/>
      <c r="AY65" s="1371"/>
      <c r="AZ65" s="29"/>
    </row>
    <row r="66" spans="1:52" ht="12.95" customHeight="1" thickTop="1" x14ac:dyDescent="0.15">
      <c r="A66" s="29"/>
      <c r="B66" s="627" t="s">
        <v>328</v>
      </c>
      <c r="C66" s="29"/>
      <c r="D66" s="628"/>
      <c r="E66" s="628"/>
      <c r="F66" s="628"/>
      <c r="G66" s="628"/>
      <c r="H66" s="628"/>
      <c r="I66" s="628"/>
      <c r="J66" s="628"/>
      <c r="K66" s="629"/>
      <c r="L66" s="1379" t="e">
        <f>#REF!</f>
        <v>#REF!</v>
      </c>
      <c r="M66" s="1379"/>
      <c r="N66" s="1379"/>
      <c r="O66" s="1380"/>
      <c r="P66" s="1381" t="e">
        <f>#REF!</f>
        <v>#REF!</v>
      </c>
      <c r="Q66" s="1382"/>
      <c r="R66" s="1382"/>
      <c r="S66" s="1383"/>
      <c r="T66" s="1384" t="e">
        <f>#REF!</f>
        <v>#REF!</v>
      </c>
      <c r="U66" s="1382"/>
      <c r="V66" s="1382"/>
      <c r="W66" s="1383"/>
      <c r="X66" s="1384" t="e">
        <f>#REF!</f>
        <v>#REF!</v>
      </c>
      <c r="Y66" s="1382"/>
      <c r="Z66" s="1382"/>
      <c r="AA66" s="1383"/>
      <c r="AB66" s="1384" t="e">
        <f>#REF!</f>
        <v>#REF!</v>
      </c>
      <c r="AC66" s="1382"/>
      <c r="AD66" s="1382"/>
      <c r="AE66" s="1383"/>
      <c r="AF66" s="1384"/>
      <c r="AG66" s="1382"/>
      <c r="AH66" s="1382"/>
      <c r="AI66" s="1383"/>
      <c r="AJ66" s="1344"/>
      <c r="AK66" s="1345"/>
      <c r="AL66" s="1345"/>
      <c r="AM66" s="1346"/>
      <c r="AN66" s="1344"/>
      <c r="AO66" s="1345"/>
      <c r="AP66" s="1345"/>
      <c r="AQ66" s="1346"/>
      <c r="AR66" s="1344"/>
      <c r="AS66" s="1345"/>
      <c r="AT66" s="1345"/>
      <c r="AU66" s="1346"/>
      <c r="AV66" s="1344"/>
      <c r="AW66" s="1345"/>
      <c r="AX66" s="1345"/>
      <c r="AY66" s="1346"/>
      <c r="AZ66" s="29"/>
    </row>
    <row r="67" spans="1:52" ht="12.95" customHeight="1" x14ac:dyDescent="0.15">
      <c r="A67" s="29"/>
      <c r="B67" s="1385" t="s">
        <v>361</v>
      </c>
      <c r="C67" s="1386"/>
      <c r="D67" s="1389" t="s">
        <v>329</v>
      </c>
      <c r="E67" s="1390"/>
      <c r="F67" s="1390"/>
      <c r="G67" s="1390"/>
      <c r="H67" s="1390"/>
      <c r="I67" s="1390"/>
      <c r="J67" s="1390"/>
      <c r="K67" s="1390"/>
      <c r="L67" s="1379" t="e">
        <f>#REF!</f>
        <v>#REF!</v>
      </c>
      <c r="M67" s="1379"/>
      <c r="N67" s="1379"/>
      <c r="O67" s="1380"/>
      <c r="P67" s="1391" t="e">
        <f>#REF!</f>
        <v>#REF!</v>
      </c>
      <c r="Q67" s="1332"/>
      <c r="R67" s="1332"/>
      <c r="S67" s="1333"/>
      <c r="T67" s="1331" t="e">
        <f>#REF!</f>
        <v>#REF!</v>
      </c>
      <c r="U67" s="1332"/>
      <c r="V67" s="1332"/>
      <c r="W67" s="1333"/>
      <c r="X67" s="1331" t="e">
        <f>#REF!</f>
        <v>#REF!</v>
      </c>
      <c r="Y67" s="1332"/>
      <c r="Z67" s="1332"/>
      <c r="AA67" s="1333"/>
      <c r="AB67" s="1331" t="e">
        <f>#REF!</f>
        <v>#REF!</v>
      </c>
      <c r="AC67" s="1332"/>
      <c r="AD67" s="1332"/>
      <c r="AE67" s="1333"/>
      <c r="AF67" s="1331"/>
      <c r="AG67" s="1332"/>
      <c r="AH67" s="1332"/>
      <c r="AI67" s="1333"/>
      <c r="AJ67" s="1334"/>
      <c r="AK67" s="1335"/>
      <c r="AL67" s="1335"/>
      <c r="AM67" s="1336"/>
      <c r="AN67" s="1334"/>
      <c r="AO67" s="1335"/>
      <c r="AP67" s="1335"/>
      <c r="AQ67" s="1336"/>
      <c r="AR67" s="1334"/>
      <c r="AS67" s="1335"/>
      <c r="AT67" s="1335"/>
      <c r="AU67" s="1336"/>
      <c r="AV67" s="1334"/>
      <c r="AW67" s="1335"/>
      <c r="AX67" s="1335"/>
      <c r="AY67" s="1336"/>
      <c r="AZ67" s="29"/>
    </row>
    <row r="68" spans="1:52" ht="12.95" customHeight="1" thickBot="1" x14ac:dyDescent="0.2">
      <c r="A68" s="29"/>
      <c r="B68" s="1387"/>
      <c r="C68" s="1388"/>
      <c r="D68" s="1389" t="s">
        <v>112</v>
      </c>
      <c r="E68" s="1390"/>
      <c r="F68" s="1390"/>
      <c r="G68" s="1390"/>
      <c r="H68" s="1390"/>
      <c r="I68" s="1390"/>
      <c r="J68" s="1390"/>
      <c r="K68" s="1390"/>
      <c r="L68" s="1379" t="e">
        <f>#REF!</f>
        <v>#REF!</v>
      </c>
      <c r="M68" s="1379"/>
      <c r="N68" s="1379"/>
      <c r="O68" s="1380"/>
      <c r="P68" s="1391" t="e">
        <f>#REF!</f>
        <v>#REF!</v>
      </c>
      <c r="Q68" s="1332"/>
      <c r="R68" s="1332"/>
      <c r="S68" s="1333"/>
      <c r="T68" s="1331" t="e">
        <f>#REF!</f>
        <v>#REF!</v>
      </c>
      <c r="U68" s="1332"/>
      <c r="V68" s="1332"/>
      <c r="W68" s="1333"/>
      <c r="X68" s="1331" t="e">
        <f>#REF!</f>
        <v>#REF!</v>
      </c>
      <c r="Y68" s="1332"/>
      <c r="Z68" s="1332"/>
      <c r="AA68" s="1333"/>
      <c r="AB68" s="1331" t="e">
        <f>#REF!</f>
        <v>#REF!</v>
      </c>
      <c r="AC68" s="1332"/>
      <c r="AD68" s="1332"/>
      <c r="AE68" s="1333"/>
      <c r="AF68" s="1331"/>
      <c r="AG68" s="1332"/>
      <c r="AH68" s="1332"/>
      <c r="AI68" s="1333"/>
      <c r="AJ68" s="1334"/>
      <c r="AK68" s="1335"/>
      <c r="AL68" s="1335"/>
      <c r="AM68" s="1336"/>
      <c r="AN68" s="1334"/>
      <c r="AO68" s="1335"/>
      <c r="AP68" s="1335"/>
      <c r="AQ68" s="1336"/>
      <c r="AR68" s="1334"/>
      <c r="AS68" s="1335"/>
      <c r="AT68" s="1335"/>
      <c r="AU68" s="1336"/>
      <c r="AV68" s="1334"/>
      <c r="AW68" s="1335"/>
      <c r="AX68" s="1335"/>
      <c r="AY68" s="1336"/>
      <c r="AZ68" s="29"/>
    </row>
    <row r="69" spans="1:52" ht="12.95" customHeight="1" thickBot="1" x14ac:dyDescent="0.2">
      <c r="A69" s="29"/>
      <c r="B69" s="630" t="s">
        <v>362</v>
      </c>
      <c r="C69" s="631"/>
      <c r="D69" s="632"/>
      <c r="E69" s="632"/>
      <c r="F69" s="632"/>
      <c r="G69" s="632"/>
      <c r="H69" s="632"/>
      <c r="I69" s="632"/>
      <c r="J69" s="632"/>
      <c r="K69" s="632"/>
      <c r="L69" s="632"/>
      <c r="M69" s="547"/>
      <c r="N69" s="547"/>
      <c r="O69" s="548"/>
      <c r="P69" s="1392" t="e">
        <f>SUM(P65:S68)</f>
        <v>#REF!</v>
      </c>
      <c r="Q69" s="1393"/>
      <c r="R69" s="1393"/>
      <c r="S69" s="1393"/>
      <c r="T69" s="1393" t="e">
        <f>SUM(T65:W68)</f>
        <v>#REF!</v>
      </c>
      <c r="U69" s="1393"/>
      <c r="V69" s="1393"/>
      <c r="W69" s="1393"/>
      <c r="X69" s="1393" t="e">
        <f>SUM(X65:AA68)</f>
        <v>#REF!</v>
      </c>
      <c r="Y69" s="1393"/>
      <c r="Z69" s="1393"/>
      <c r="AA69" s="1393"/>
      <c r="AB69" s="1393" t="e">
        <f>SUM(AB65:AE68)</f>
        <v>#REF!</v>
      </c>
      <c r="AC69" s="1393"/>
      <c r="AD69" s="1393"/>
      <c r="AE69" s="1393"/>
      <c r="AF69" s="1393"/>
      <c r="AG69" s="1393"/>
      <c r="AH69" s="1393"/>
      <c r="AI69" s="1393"/>
      <c r="AJ69" s="1393"/>
      <c r="AK69" s="1393"/>
      <c r="AL69" s="1393"/>
      <c r="AM69" s="1393"/>
      <c r="AN69" s="1393"/>
      <c r="AO69" s="1393"/>
      <c r="AP69" s="1393"/>
      <c r="AQ69" s="1393"/>
      <c r="AR69" s="1393"/>
      <c r="AS69" s="1393"/>
      <c r="AT69" s="1393"/>
      <c r="AU69" s="1393"/>
      <c r="AV69" s="1393"/>
      <c r="AW69" s="1393"/>
      <c r="AX69" s="1393"/>
      <c r="AY69" s="1394"/>
      <c r="AZ69" s="29"/>
    </row>
    <row r="70" spans="1:52" ht="15" customHeight="1" x14ac:dyDescent="0.15">
      <c r="A70" s="29"/>
      <c r="B70" s="24" t="s">
        <v>241</v>
      </c>
      <c r="C70" s="1395" t="s">
        <v>370</v>
      </c>
      <c r="D70" s="1396"/>
      <c r="E70" s="1396"/>
      <c r="F70" s="1396"/>
      <c r="G70" s="1396"/>
      <c r="H70" s="1396"/>
      <c r="I70" s="1396"/>
      <c r="J70" s="1396"/>
      <c r="K70" s="1396"/>
      <c r="L70" s="1396"/>
      <c r="M70" s="1396"/>
      <c r="N70" s="1396"/>
      <c r="O70" s="1396"/>
      <c r="P70" s="1396"/>
      <c r="Q70" s="1396"/>
      <c r="R70" s="1396"/>
      <c r="S70" s="1396"/>
      <c r="T70" s="1396"/>
      <c r="U70" s="1396"/>
      <c r="V70" s="1396"/>
      <c r="W70" s="1396"/>
      <c r="X70" s="1396"/>
      <c r="Y70" s="1396"/>
      <c r="Z70" s="1396"/>
      <c r="AA70" s="1396"/>
      <c r="AB70" s="1396"/>
      <c r="AC70" s="1396"/>
      <c r="AD70" s="1396"/>
      <c r="AE70" s="1396"/>
      <c r="AF70" s="1396"/>
      <c r="AG70" s="1396"/>
      <c r="AH70" s="1396"/>
      <c r="AI70" s="1396"/>
      <c r="AJ70" s="1396"/>
      <c r="AK70" s="1396"/>
      <c r="AL70" s="1396"/>
      <c r="AM70" s="1396"/>
      <c r="AN70" s="1396"/>
      <c r="AO70" s="1396"/>
      <c r="AP70" s="1396"/>
      <c r="AQ70" s="1396"/>
      <c r="AR70" s="1396"/>
      <c r="AS70" s="1396"/>
      <c r="AT70" s="1396"/>
      <c r="AU70" s="1396"/>
      <c r="AV70" s="1396"/>
      <c r="AW70" s="1396"/>
      <c r="AX70" s="1396"/>
      <c r="AY70" s="1396"/>
      <c r="AZ70" s="29"/>
    </row>
    <row r="71" spans="1:52" ht="15" customHeight="1" x14ac:dyDescent="0.15">
      <c r="A71" s="29"/>
      <c r="B71" s="24"/>
      <c r="C71" s="1395"/>
      <c r="D71" s="1396"/>
      <c r="E71" s="1396"/>
      <c r="F71" s="1396"/>
      <c r="G71" s="1396"/>
      <c r="H71" s="1396"/>
      <c r="I71" s="1396"/>
      <c r="J71" s="1396"/>
      <c r="K71" s="1396"/>
      <c r="L71" s="1396"/>
      <c r="M71" s="1396"/>
      <c r="N71" s="1396"/>
      <c r="O71" s="1396"/>
      <c r="P71" s="1396"/>
      <c r="Q71" s="1396"/>
      <c r="R71" s="1396"/>
      <c r="S71" s="1396"/>
      <c r="T71" s="1396"/>
      <c r="U71" s="1396"/>
      <c r="V71" s="1396"/>
      <c r="W71" s="1396"/>
      <c r="X71" s="1396"/>
      <c r="Y71" s="1396"/>
      <c r="Z71" s="1396"/>
      <c r="AA71" s="1396"/>
      <c r="AB71" s="1396"/>
      <c r="AC71" s="1396"/>
      <c r="AD71" s="1396"/>
      <c r="AE71" s="1396"/>
      <c r="AF71" s="1396"/>
      <c r="AG71" s="1396"/>
      <c r="AH71" s="1396"/>
      <c r="AI71" s="1396"/>
      <c r="AJ71" s="1396"/>
      <c r="AK71" s="1396"/>
      <c r="AL71" s="1396"/>
      <c r="AM71" s="1396"/>
      <c r="AN71" s="1396"/>
      <c r="AO71" s="1396"/>
      <c r="AP71" s="1396"/>
      <c r="AQ71" s="1396"/>
      <c r="AR71" s="1396"/>
      <c r="AS71" s="1396"/>
      <c r="AT71" s="1396"/>
      <c r="AU71" s="1396"/>
      <c r="AV71" s="1396"/>
      <c r="AW71" s="1396"/>
      <c r="AX71" s="1396"/>
      <c r="AY71" s="1396"/>
      <c r="AZ71" s="29"/>
    </row>
    <row r="72" spans="1:52" ht="15" customHeight="1" thickBot="1" x14ac:dyDescent="0.2">
      <c r="A72" s="29"/>
      <c r="B72" s="24"/>
      <c r="C72" s="29"/>
      <c r="D72" s="23"/>
      <c r="E72" s="634"/>
      <c r="F72" s="634"/>
      <c r="G72" s="13"/>
      <c r="H72" s="13"/>
      <c r="I72" s="13"/>
      <c r="J72" s="13"/>
      <c r="K72" s="417"/>
      <c r="L72" s="417"/>
      <c r="M72" s="417"/>
      <c r="N72" s="13"/>
      <c r="O72" s="13"/>
      <c r="P72" s="417"/>
      <c r="Q72" s="417"/>
      <c r="R72" s="417"/>
      <c r="S72" s="13"/>
      <c r="T72" s="598"/>
      <c r="U72" s="598"/>
      <c r="V72" s="515"/>
      <c r="W72" s="515"/>
      <c r="X72" s="515"/>
      <c r="Y72" s="515"/>
      <c r="Z72" s="598"/>
      <c r="AA72" s="598"/>
      <c r="AB72" s="598"/>
      <c r="AC72" s="635"/>
      <c r="AD72" s="635"/>
      <c r="AE72" s="635"/>
      <c r="AF72" s="416"/>
      <c r="AG72" s="416"/>
      <c r="AH72" s="416"/>
      <c r="AI72" s="416"/>
      <c r="AJ72" s="416"/>
      <c r="AK72" s="29"/>
      <c r="AL72" s="565"/>
      <c r="AM72" s="565"/>
      <c r="AN72" s="565"/>
      <c r="AO72" s="565"/>
      <c r="AP72" s="29"/>
      <c r="AQ72" s="29"/>
      <c r="AR72" s="29"/>
      <c r="AS72" s="29"/>
      <c r="AT72" s="29"/>
      <c r="AU72" s="29"/>
      <c r="AV72" s="29"/>
      <c r="AW72" s="29"/>
      <c r="AX72" s="29"/>
      <c r="AY72" s="29"/>
      <c r="AZ72" s="29"/>
    </row>
    <row r="73" spans="1:52" ht="15" customHeight="1" x14ac:dyDescent="0.15">
      <c r="A73" s="29"/>
      <c r="B73" s="1397" t="s">
        <v>348</v>
      </c>
      <c r="C73" s="1398"/>
      <c r="D73" s="1398"/>
      <c r="E73" s="1398"/>
      <c r="F73" s="1398"/>
      <c r="G73" s="1398"/>
      <c r="H73" s="1398"/>
      <c r="I73" s="1398"/>
      <c r="J73" s="1398"/>
      <c r="K73" s="1398"/>
      <c r="L73" s="1398"/>
      <c r="M73" s="1398"/>
      <c r="N73" s="1398"/>
      <c r="O73" s="1398"/>
      <c r="P73" s="1398"/>
      <c r="Q73" s="1398"/>
      <c r="R73" s="1398"/>
      <c r="S73" s="1398"/>
      <c r="T73" s="1398"/>
      <c r="U73" s="1398"/>
      <c r="V73" s="1398"/>
      <c r="W73" s="1398"/>
      <c r="X73" s="1398"/>
      <c r="Y73" s="1398"/>
      <c r="Z73" s="1398"/>
      <c r="AA73" s="1398"/>
      <c r="AB73" s="1398"/>
      <c r="AC73" s="1398"/>
      <c r="AD73" s="1398"/>
      <c r="AE73" s="1398"/>
      <c r="AF73" s="1398"/>
      <c r="AG73" s="1398"/>
      <c r="AH73" s="1398"/>
      <c r="AI73" s="1398"/>
      <c r="AJ73" s="1398"/>
      <c r="AK73" s="1398"/>
      <c r="AL73" s="1398"/>
      <c r="AM73" s="1398"/>
      <c r="AN73" s="1398"/>
      <c r="AO73" s="1398"/>
      <c r="AP73" s="1398"/>
      <c r="AQ73" s="1398"/>
      <c r="AR73" s="1398"/>
      <c r="AS73" s="1398"/>
      <c r="AT73" s="1398"/>
      <c r="AU73" s="1398"/>
      <c r="AV73" s="1398"/>
      <c r="AW73" s="1398"/>
      <c r="AX73" s="1398"/>
      <c r="AY73" s="1399"/>
      <c r="AZ73" s="29"/>
    </row>
    <row r="74" spans="1:52" ht="15" customHeight="1" thickBot="1" x14ac:dyDescent="0.2">
      <c r="A74" s="598"/>
      <c r="B74" s="1400"/>
      <c r="C74" s="1401"/>
      <c r="D74" s="1401"/>
      <c r="E74" s="1401"/>
      <c r="F74" s="1401"/>
      <c r="G74" s="1401"/>
      <c r="H74" s="1401"/>
      <c r="I74" s="1401"/>
      <c r="J74" s="1401"/>
      <c r="K74" s="1401"/>
      <c r="L74" s="1401"/>
      <c r="M74" s="1401"/>
      <c r="N74" s="1401"/>
      <c r="O74" s="1401"/>
      <c r="P74" s="1401"/>
      <c r="Q74" s="1401"/>
      <c r="R74" s="1401"/>
      <c r="S74" s="1401"/>
      <c r="T74" s="1401"/>
      <c r="U74" s="1401"/>
      <c r="V74" s="1401"/>
      <c r="W74" s="1401"/>
      <c r="X74" s="1401"/>
      <c r="Y74" s="1401"/>
      <c r="Z74" s="1401"/>
      <c r="AA74" s="1401"/>
      <c r="AB74" s="1401"/>
      <c r="AC74" s="1401"/>
      <c r="AD74" s="1401"/>
      <c r="AE74" s="1401"/>
      <c r="AF74" s="1401"/>
      <c r="AG74" s="1401"/>
      <c r="AH74" s="1401"/>
      <c r="AI74" s="1401"/>
      <c r="AJ74" s="1401"/>
      <c r="AK74" s="1401"/>
      <c r="AL74" s="1401"/>
      <c r="AM74" s="1401"/>
      <c r="AN74" s="1401"/>
      <c r="AO74" s="1401"/>
      <c r="AP74" s="1401"/>
      <c r="AQ74" s="1401"/>
      <c r="AR74" s="1401"/>
      <c r="AS74" s="1401"/>
      <c r="AT74" s="1401"/>
      <c r="AU74" s="1401"/>
      <c r="AV74" s="1401"/>
      <c r="AW74" s="1401"/>
      <c r="AX74" s="1401"/>
      <c r="AY74" s="1402"/>
      <c r="AZ74" s="29"/>
    </row>
    <row r="75" spans="1:52" s="558" customFormat="1" ht="21" customHeight="1" x14ac:dyDescent="0.15">
      <c r="A75" s="598"/>
      <c r="B75" s="636"/>
      <c r="C75" s="637" t="s">
        <v>349</v>
      </c>
      <c r="D75" s="600"/>
      <c r="E75" s="600"/>
      <c r="F75" s="600"/>
      <c r="G75" s="600"/>
      <c r="H75" s="600"/>
      <c r="I75" s="600"/>
      <c r="J75" s="587"/>
      <c r="K75" s="549"/>
      <c r="L75" s="549"/>
      <c r="M75" s="549"/>
      <c r="N75" s="587"/>
      <c r="O75" s="587"/>
      <c r="P75" s="550"/>
      <c r="Q75" s="550"/>
      <c r="R75" s="550"/>
      <c r="S75" s="587"/>
      <c r="T75" s="587"/>
      <c r="U75" s="550"/>
      <c r="V75" s="550"/>
      <c r="W75" s="550"/>
      <c r="X75" s="587"/>
      <c r="Y75" s="551"/>
      <c r="Z75" s="551"/>
      <c r="AA75" s="556"/>
      <c r="AB75" s="637"/>
      <c r="AC75" s="600"/>
      <c r="AD75" s="600"/>
      <c r="AE75" s="600"/>
      <c r="AF75" s="600"/>
      <c r="AG75" s="600"/>
      <c r="AH75" s="600"/>
      <c r="AI75" s="587"/>
      <c r="AJ75" s="549"/>
      <c r="AK75" s="549"/>
      <c r="AL75" s="549"/>
      <c r="AM75" s="587"/>
      <c r="AN75" s="587"/>
      <c r="AO75" s="550"/>
      <c r="AP75" s="550"/>
      <c r="AQ75" s="550"/>
      <c r="AR75" s="587"/>
      <c r="AS75" s="587"/>
      <c r="AT75" s="550"/>
      <c r="AU75" s="550"/>
      <c r="AV75" s="550"/>
      <c r="AW75" s="587"/>
      <c r="AX75" s="551"/>
      <c r="AY75" s="638"/>
      <c r="AZ75" s="639"/>
    </row>
    <row r="76" spans="1:52" ht="21" customHeight="1" x14ac:dyDescent="0.15">
      <c r="A76" s="569"/>
      <c r="B76" s="569"/>
      <c r="C76" s="569"/>
      <c r="D76" s="640"/>
      <c r="E76" s="641" t="s">
        <v>242</v>
      </c>
      <c r="F76" s="642" t="s">
        <v>342</v>
      </c>
      <c r="G76" s="1403" t="e">
        <f>AK59</f>
        <v>#REF!</v>
      </c>
      <c r="H76" s="1403"/>
      <c r="I76" s="1403"/>
      <c r="J76" s="643" t="s">
        <v>343</v>
      </c>
      <c r="K76" s="13" t="s">
        <v>109</v>
      </c>
      <c r="L76" s="29"/>
      <c r="M76" s="644">
        <v>8</v>
      </c>
      <c r="N76" s="1404" t="s">
        <v>243</v>
      </c>
      <c r="O76" s="1404"/>
      <c r="P76" s="1404"/>
      <c r="Q76" s="29"/>
      <c r="R76" s="640" t="s">
        <v>75</v>
      </c>
      <c r="S76" s="29"/>
      <c r="T76" s="1405" t="e">
        <f>ROUNDDOWN((G76)/M76,1)</f>
        <v>#REF!</v>
      </c>
      <c r="U76" s="1405"/>
      <c r="V76" s="1405"/>
      <c r="W76" s="1405"/>
      <c r="X76" s="640" t="s">
        <v>244</v>
      </c>
      <c r="Y76" s="640"/>
      <c r="Z76" s="29"/>
      <c r="AA76" s="565"/>
      <c r="AB76" s="569"/>
      <c r="AC76" s="640"/>
      <c r="AD76" s="641"/>
      <c r="AE76" s="642"/>
      <c r="AF76" s="1406"/>
      <c r="AG76" s="1406"/>
      <c r="AH76" s="1406"/>
      <c r="AI76" s="643"/>
      <c r="AJ76" s="13"/>
      <c r="AK76" s="29"/>
      <c r="AL76" s="647"/>
      <c r="AM76" s="1407"/>
      <c r="AN76" s="1407"/>
      <c r="AO76" s="1407"/>
      <c r="AP76" s="29"/>
      <c r="AQ76" s="640"/>
      <c r="AR76" s="29"/>
      <c r="AS76" s="1405"/>
      <c r="AT76" s="1405"/>
      <c r="AU76" s="1405"/>
      <c r="AV76" s="1405"/>
      <c r="AW76" s="640"/>
      <c r="AX76" s="640"/>
      <c r="AY76" s="598"/>
      <c r="AZ76" s="640"/>
    </row>
    <row r="77" spans="1:52" ht="12" customHeight="1" x14ac:dyDescent="0.15">
      <c r="A77" s="569"/>
      <c r="B77" s="569"/>
      <c r="C77" s="569"/>
      <c r="D77" s="640"/>
      <c r="E77" s="641" t="s">
        <v>245</v>
      </c>
      <c r="F77" s="649" t="s">
        <v>363</v>
      </c>
      <c r="G77" s="646"/>
      <c r="H77" s="646"/>
      <c r="I77" s="646"/>
      <c r="J77" s="643"/>
      <c r="K77" s="13"/>
      <c r="L77" s="29"/>
      <c r="M77" s="650"/>
      <c r="N77" s="648"/>
      <c r="O77" s="648"/>
      <c r="P77" s="648"/>
      <c r="Q77" s="29"/>
      <c r="R77" s="640" t="s">
        <v>75</v>
      </c>
      <c r="S77" s="29"/>
      <c r="T77" s="1405">
        <v>0</v>
      </c>
      <c r="U77" s="1405"/>
      <c r="V77" s="1405"/>
      <c r="W77" s="1405"/>
      <c r="X77" s="640" t="s">
        <v>244</v>
      </c>
      <c r="Y77" s="640"/>
      <c r="Z77" s="29"/>
      <c r="AA77" s="565"/>
      <c r="AB77" s="569"/>
      <c r="AC77" s="640"/>
      <c r="AD77" s="641"/>
      <c r="AE77" s="642"/>
      <c r="AF77" s="646"/>
      <c r="AG77" s="646"/>
      <c r="AH77" s="646"/>
      <c r="AI77" s="643"/>
      <c r="AJ77" s="13"/>
      <c r="AK77" s="29"/>
      <c r="AL77" s="647"/>
      <c r="AM77" s="648"/>
      <c r="AN77" s="648"/>
      <c r="AO77" s="648"/>
      <c r="AP77" s="29"/>
      <c r="AQ77" s="640"/>
      <c r="AR77" s="29"/>
      <c r="AS77" s="645"/>
      <c r="AT77" s="645"/>
      <c r="AU77" s="645"/>
      <c r="AV77" s="645"/>
      <c r="AW77" s="640"/>
      <c r="AX77" s="640"/>
      <c r="AY77" s="598"/>
      <c r="AZ77" s="640"/>
    </row>
    <row r="78" spans="1:52" x14ac:dyDescent="0.15">
      <c r="A78" s="569"/>
      <c r="B78" s="569"/>
      <c r="C78" s="569"/>
      <c r="D78" s="640"/>
      <c r="E78" s="641" t="s">
        <v>364</v>
      </c>
      <c r="F78" s="640" t="s">
        <v>344</v>
      </c>
      <c r="G78" s="29"/>
      <c r="H78" s="640"/>
      <c r="I78" s="29"/>
      <c r="J78" s="29"/>
      <c r="K78" s="640"/>
      <c r="L78" s="640"/>
      <c r="M78" s="640"/>
      <c r="N78" s="640"/>
      <c r="O78" s="640"/>
      <c r="P78" s="640"/>
      <c r="Q78" s="640"/>
      <c r="R78" s="640"/>
      <c r="S78" s="640"/>
      <c r="T78" s="1405">
        <v>32</v>
      </c>
      <c r="U78" s="1405"/>
      <c r="V78" s="1405"/>
      <c r="W78" s="1405"/>
      <c r="X78" s="640" t="s">
        <v>246</v>
      </c>
      <c r="Y78" s="640"/>
      <c r="Z78" s="29"/>
      <c r="AA78" s="565"/>
      <c r="AB78" s="569"/>
      <c r="AC78" s="640"/>
      <c r="AD78" s="641"/>
      <c r="AE78" s="640"/>
      <c r="AF78" s="29"/>
      <c r="AG78" s="640"/>
      <c r="AH78" s="29"/>
      <c r="AI78" s="29"/>
      <c r="AJ78" s="640"/>
      <c r="AK78" s="640"/>
      <c r="AL78" s="640"/>
      <c r="AM78" s="640"/>
      <c r="AN78" s="640"/>
      <c r="AO78" s="640"/>
      <c r="AP78" s="640"/>
      <c r="AQ78" s="640"/>
      <c r="AR78" s="640"/>
      <c r="AS78" s="1419"/>
      <c r="AT78" s="1419"/>
      <c r="AU78" s="1419"/>
      <c r="AV78" s="1419"/>
      <c r="AW78" s="640"/>
      <c r="AX78" s="640"/>
      <c r="AY78" s="598"/>
      <c r="AZ78" s="640"/>
    </row>
    <row r="79" spans="1:52" x14ac:dyDescent="0.15">
      <c r="A79" s="640"/>
      <c r="B79" s="640"/>
      <c r="C79" s="640"/>
      <c r="D79" s="640"/>
      <c r="E79" s="640"/>
      <c r="F79" s="640"/>
      <c r="G79" s="640"/>
      <c r="H79" s="640"/>
      <c r="I79" s="641"/>
      <c r="J79" s="640"/>
      <c r="K79" s="640"/>
      <c r="L79" s="640"/>
      <c r="M79" s="640"/>
      <c r="N79" s="640"/>
      <c r="O79" s="640"/>
      <c r="P79" s="640"/>
      <c r="Q79" s="640"/>
      <c r="R79" s="640"/>
      <c r="S79" s="640"/>
      <c r="T79" s="651"/>
      <c r="U79" s="651"/>
      <c r="V79" s="651"/>
      <c r="W79" s="651"/>
      <c r="X79" s="640"/>
      <c r="Y79" s="640"/>
      <c r="Z79" s="29"/>
      <c r="AA79" s="565"/>
      <c r="AB79" s="640"/>
      <c r="AC79" s="640"/>
      <c r="AD79" s="640"/>
      <c r="AE79" s="640"/>
      <c r="AF79" s="640"/>
      <c r="AG79" s="640"/>
      <c r="AH79" s="641"/>
      <c r="AI79" s="640"/>
      <c r="AJ79" s="640"/>
      <c r="AK79" s="640"/>
      <c r="AL79" s="640"/>
      <c r="AM79" s="640"/>
      <c r="AN79" s="640"/>
      <c r="AO79" s="640"/>
      <c r="AP79" s="640"/>
      <c r="AQ79" s="640"/>
      <c r="AR79" s="640"/>
      <c r="AS79" s="651"/>
      <c r="AT79" s="651"/>
      <c r="AU79" s="651"/>
      <c r="AV79" s="651"/>
      <c r="AW79" s="640"/>
      <c r="AX79" s="640"/>
      <c r="AY79" s="598"/>
      <c r="AZ79" s="640"/>
    </row>
    <row r="80" spans="1:52" x14ac:dyDescent="0.15">
      <c r="A80" s="640"/>
      <c r="B80" s="640"/>
      <c r="C80" s="640"/>
      <c r="D80" s="640"/>
      <c r="E80" s="640"/>
      <c r="F80" s="640"/>
      <c r="G80" s="640"/>
      <c r="H80" s="641" t="s">
        <v>247</v>
      </c>
      <c r="I80" s="645" t="s">
        <v>365</v>
      </c>
      <c r="J80" s="645"/>
      <c r="K80" s="645"/>
      <c r="L80" s="640"/>
      <c r="M80" s="640"/>
      <c r="N80" s="652"/>
      <c r="O80" s="652"/>
      <c r="P80" s="645"/>
      <c r="Q80" s="640" t="s">
        <v>75</v>
      </c>
      <c r="R80" s="652"/>
      <c r="S80" s="652"/>
      <c r="T80" s="1409" t="e">
        <f>ROUNDDOWN((T76+T77)*T78,-1)</f>
        <v>#REF!</v>
      </c>
      <c r="U80" s="1409"/>
      <c r="V80" s="1409"/>
      <c r="W80" s="1409"/>
      <c r="X80" s="640" t="s">
        <v>246</v>
      </c>
      <c r="Y80" s="640"/>
      <c r="Z80" s="29"/>
      <c r="AA80" s="565"/>
      <c r="AB80" s="640"/>
      <c r="AC80" s="640"/>
      <c r="AD80" s="640"/>
      <c r="AE80" s="640"/>
      <c r="AF80" s="640"/>
      <c r="AG80" s="641"/>
      <c r="AH80" s="1405"/>
      <c r="AI80" s="1405"/>
      <c r="AJ80" s="1405"/>
      <c r="AK80" s="640"/>
      <c r="AL80" s="640"/>
      <c r="AM80" s="1405"/>
      <c r="AN80" s="1405"/>
      <c r="AO80" s="640"/>
      <c r="AP80" s="640"/>
      <c r="AQ80" s="652"/>
      <c r="AR80" s="652"/>
      <c r="AS80" s="1409"/>
      <c r="AT80" s="1409"/>
      <c r="AU80" s="1409"/>
      <c r="AV80" s="1409"/>
      <c r="AW80" s="640"/>
      <c r="AX80" s="640"/>
      <c r="AY80" s="598"/>
      <c r="AZ80" s="640"/>
    </row>
    <row r="81" spans="1:52" x14ac:dyDescent="0.15">
      <c r="A81" s="640"/>
      <c r="B81" s="640"/>
      <c r="C81" s="640"/>
      <c r="D81" s="640"/>
      <c r="E81" s="640"/>
      <c r="F81" s="640"/>
      <c r="G81" s="640"/>
      <c r="H81" s="641" t="s">
        <v>248</v>
      </c>
      <c r="I81" s="643" t="s">
        <v>249</v>
      </c>
      <c r="J81" s="643"/>
      <c r="K81" s="643"/>
      <c r="L81" s="643"/>
      <c r="M81" s="640"/>
      <c r="N81" s="653" t="s">
        <v>104</v>
      </c>
      <c r="O81" s="1415">
        <v>1.1000000000000001</v>
      </c>
      <c r="P81" s="1415"/>
      <c r="Q81" s="640" t="s">
        <v>75</v>
      </c>
      <c r="R81" s="654"/>
      <c r="S81" s="654"/>
      <c r="T81" s="1409" t="e">
        <f>ROUND(T80*O81,0)</f>
        <v>#REF!</v>
      </c>
      <c r="U81" s="1409"/>
      <c r="V81" s="1409"/>
      <c r="W81" s="1409"/>
      <c r="X81" s="640" t="s">
        <v>246</v>
      </c>
      <c r="Y81" s="640"/>
      <c r="Z81" s="29"/>
      <c r="AA81" s="565"/>
      <c r="AB81" s="640"/>
      <c r="AC81" s="640"/>
      <c r="AD81" s="640"/>
      <c r="AE81" s="640"/>
      <c r="AF81" s="640"/>
      <c r="AG81" s="641"/>
      <c r="AH81" s="643"/>
      <c r="AI81" s="643"/>
      <c r="AJ81" s="643"/>
      <c r="AK81" s="643"/>
      <c r="AL81" s="640"/>
      <c r="AM81" s="653"/>
      <c r="AN81" s="1416"/>
      <c r="AO81" s="1416"/>
      <c r="AP81" s="640"/>
      <c r="AQ81" s="654"/>
      <c r="AR81" s="654"/>
      <c r="AS81" s="1409"/>
      <c r="AT81" s="1409"/>
      <c r="AU81" s="1409"/>
      <c r="AV81" s="1409"/>
      <c r="AW81" s="640"/>
      <c r="AX81" s="640"/>
      <c r="AY81" s="598"/>
      <c r="AZ81" s="640"/>
    </row>
    <row r="82" spans="1:52" x14ac:dyDescent="0.15">
      <c r="A82" s="640"/>
      <c r="B82" s="640"/>
      <c r="C82" s="640"/>
      <c r="D82" s="640"/>
      <c r="E82" s="640"/>
      <c r="F82" s="640"/>
      <c r="G82" s="640"/>
      <c r="H82" s="641" t="s">
        <v>250</v>
      </c>
      <c r="I82" s="643" t="s">
        <v>251</v>
      </c>
      <c r="J82" s="643"/>
      <c r="K82" s="643"/>
      <c r="L82" s="643"/>
      <c r="M82" s="640"/>
      <c r="N82" s="653" t="s">
        <v>104</v>
      </c>
      <c r="O82" s="1417">
        <v>0.2</v>
      </c>
      <c r="P82" s="1417"/>
      <c r="Q82" s="640" t="s">
        <v>75</v>
      </c>
      <c r="R82" s="654"/>
      <c r="S82" s="654"/>
      <c r="T82" s="1409" t="e">
        <f>ROUND((T80+T81)*O82,-1)</f>
        <v>#REF!</v>
      </c>
      <c r="U82" s="1409"/>
      <c r="V82" s="1409"/>
      <c r="W82" s="1409"/>
      <c r="X82" s="640" t="s">
        <v>246</v>
      </c>
      <c r="Y82" s="640"/>
      <c r="Z82" s="29"/>
      <c r="AA82" s="565"/>
      <c r="AB82" s="640"/>
      <c r="AC82" s="640"/>
      <c r="AD82" s="640"/>
      <c r="AE82" s="640"/>
      <c r="AF82" s="640"/>
      <c r="AG82" s="641"/>
      <c r="AH82" s="643"/>
      <c r="AI82" s="643"/>
      <c r="AJ82" s="643"/>
      <c r="AK82" s="643"/>
      <c r="AL82" s="640"/>
      <c r="AM82" s="653"/>
      <c r="AN82" s="1418"/>
      <c r="AO82" s="1418"/>
      <c r="AP82" s="640"/>
      <c r="AQ82" s="654"/>
      <c r="AR82" s="654"/>
      <c r="AS82" s="1409"/>
      <c r="AT82" s="1409"/>
      <c r="AU82" s="1409"/>
      <c r="AV82" s="1409"/>
      <c r="AW82" s="640"/>
      <c r="AX82" s="640"/>
      <c r="AY82" s="29"/>
      <c r="AZ82" s="29"/>
    </row>
    <row r="83" spans="1:52" x14ac:dyDescent="0.15">
      <c r="A83" s="640"/>
      <c r="B83" s="640"/>
      <c r="C83" s="640"/>
      <c r="D83" s="640"/>
      <c r="E83" s="640"/>
      <c r="F83" s="640"/>
      <c r="G83" s="640"/>
      <c r="H83" s="641" t="s">
        <v>252</v>
      </c>
      <c r="I83" s="1411">
        <v>0</v>
      </c>
      <c r="J83" s="1411"/>
      <c r="K83" s="640"/>
      <c r="L83" s="640"/>
      <c r="M83" s="640"/>
      <c r="N83" s="640"/>
      <c r="O83" s="640"/>
      <c r="P83" s="640"/>
      <c r="Q83" s="640"/>
      <c r="R83" s="640"/>
      <c r="S83" s="640"/>
      <c r="T83" s="1412" t="e">
        <f>ROUNDDOWN((T80+T81+T82)*I83,0)</f>
        <v>#REF!</v>
      </c>
      <c r="U83" s="1412"/>
      <c r="V83" s="1412"/>
      <c r="W83" s="1412"/>
      <c r="X83" s="640" t="s">
        <v>246</v>
      </c>
      <c r="Y83" s="640"/>
      <c r="Z83" s="29"/>
      <c r="AA83" s="565"/>
      <c r="AB83" s="640"/>
      <c r="AC83" s="640"/>
      <c r="AD83" s="640"/>
      <c r="AE83" s="640"/>
      <c r="AF83" s="640"/>
      <c r="AG83" s="641"/>
      <c r="AH83" s="1413"/>
      <c r="AI83" s="1413"/>
      <c r="AJ83" s="640"/>
      <c r="AK83" s="640"/>
      <c r="AL83" s="640"/>
      <c r="AM83" s="640"/>
      <c r="AN83" s="640"/>
      <c r="AO83" s="640"/>
      <c r="AP83" s="640"/>
      <c r="AQ83" s="640"/>
      <c r="AR83" s="640"/>
      <c r="AS83" s="1414"/>
      <c r="AT83" s="1414"/>
      <c r="AU83" s="1414"/>
      <c r="AV83" s="1414"/>
      <c r="AW83" s="640"/>
      <c r="AX83" s="640"/>
      <c r="AY83" s="598"/>
      <c r="AZ83" s="598"/>
    </row>
    <row r="84" spans="1:52" x14ac:dyDescent="0.15">
      <c r="A84" s="640"/>
      <c r="B84" s="640"/>
      <c r="C84" s="640"/>
      <c r="D84" s="640"/>
      <c r="E84" s="640"/>
      <c r="F84" s="640"/>
      <c r="G84" s="640"/>
      <c r="H84" s="641"/>
      <c r="I84" s="640"/>
      <c r="J84" s="640"/>
      <c r="K84" s="640"/>
      <c r="L84" s="640"/>
      <c r="M84" s="640"/>
      <c r="N84" s="640"/>
      <c r="O84" s="640"/>
      <c r="P84" s="640"/>
      <c r="Q84" s="640"/>
      <c r="R84" s="640"/>
      <c r="S84" s="640"/>
      <c r="T84" s="655"/>
      <c r="U84" s="655"/>
      <c r="V84" s="655"/>
      <c r="W84" s="655"/>
      <c r="X84" s="640"/>
      <c r="Y84" s="640"/>
      <c r="Z84" s="29"/>
      <c r="AA84" s="565"/>
      <c r="AB84" s="640"/>
      <c r="AC84" s="640"/>
      <c r="AD84" s="640"/>
      <c r="AE84" s="640"/>
      <c r="AF84" s="640"/>
      <c r="AG84" s="641"/>
      <c r="AH84" s="640"/>
      <c r="AI84" s="640"/>
      <c r="AJ84" s="640"/>
      <c r="AK84" s="640"/>
      <c r="AL84" s="640"/>
      <c r="AM84" s="640"/>
      <c r="AN84" s="640"/>
      <c r="AO84" s="640"/>
      <c r="AP84" s="640"/>
      <c r="AQ84" s="640"/>
      <c r="AR84" s="640"/>
      <c r="AS84" s="655"/>
      <c r="AT84" s="655"/>
      <c r="AU84" s="655"/>
      <c r="AV84" s="655"/>
      <c r="AW84" s="640"/>
      <c r="AX84" s="640"/>
      <c r="AY84" s="29"/>
      <c r="AZ84" s="29"/>
    </row>
    <row r="85" spans="1:52" x14ac:dyDescent="0.15">
      <c r="A85" s="640"/>
      <c r="B85" s="640"/>
      <c r="C85" s="640"/>
      <c r="D85" s="640"/>
      <c r="E85" s="640"/>
      <c r="F85" s="640"/>
      <c r="G85" s="640"/>
      <c r="H85" s="640" t="s">
        <v>31</v>
      </c>
      <c r="I85" s="640"/>
      <c r="J85" s="640"/>
      <c r="K85" s="640"/>
      <c r="L85" s="640"/>
      <c r="M85" s="640"/>
      <c r="N85" s="640"/>
      <c r="O85" s="640"/>
      <c r="P85" s="598"/>
      <c r="Q85" s="640"/>
      <c r="R85" s="640"/>
      <c r="S85" s="640"/>
      <c r="T85" s="1409" t="e">
        <f>SUM(T80:W83)</f>
        <v>#REF!</v>
      </c>
      <c r="U85" s="1409"/>
      <c r="V85" s="1409"/>
      <c r="W85" s="1409"/>
      <c r="X85" s="640" t="s">
        <v>246</v>
      </c>
      <c r="Y85" s="640"/>
      <c r="Z85" s="29"/>
      <c r="AA85" s="565"/>
      <c r="AB85" s="640"/>
      <c r="AC85" s="640"/>
      <c r="AD85" s="640"/>
      <c r="AE85" s="640"/>
      <c r="AF85" s="640"/>
      <c r="AG85" s="640"/>
      <c r="AH85" s="640"/>
      <c r="AI85" s="640"/>
      <c r="AJ85" s="640"/>
      <c r="AK85" s="640"/>
      <c r="AL85" s="640"/>
      <c r="AM85" s="640"/>
      <c r="AN85" s="640"/>
      <c r="AO85" s="598"/>
      <c r="AP85" s="640"/>
      <c r="AQ85" s="640"/>
      <c r="AR85" s="640"/>
      <c r="AS85" s="1409"/>
      <c r="AT85" s="1409"/>
      <c r="AU85" s="1409"/>
      <c r="AV85" s="1409"/>
      <c r="AW85" s="640"/>
      <c r="AX85" s="640"/>
      <c r="AY85" s="29"/>
      <c r="AZ85" s="29"/>
    </row>
    <row r="86" spans="1:52" x14ac:dyDescent="0.15">
      <c r="A86" s="640"/>
      <c r="B86" s="640"/>
      <c r="C86" s="640"/>
      <c r="D86" s="640"/>
      <c r="E86" s="640"/>
      <c r="F86" s="640"/>
      <c r="G86" s="640"/>
      <c r="H86" s="640"/>
      <c r="I86" s="640"/>
      <c r="J86" s="640"/>
      <c r="K86" s="640"/>
      <c r="L86" s="640"/>
      <c r="M86" s="640"/>
      <c r="N86" s="640"/>
      <c r="O86" s="640"/>
      <c r="P86" s="598"/>
      <c r="Q86" s="640"/>
      <c r="R86" s="29"/>
      <c r="S86" s="640"/>
      <c r="T86" s="1409"/>
      <c r="U86" s="1409"/>
      <c r="V86" s="1409"/>
      <c r="W86" s="1409"/>
      <c r="X86" s="640"/>
      <c r="Y86" s="640"/>
      <c r="Z86" s="29"/>
      <c r="AA86" s="565"/>
      <c r="AB86" s="565"/>
      <c r="AC86" s="565"/>
      <c r="AD86" s="565"/>
      <c r="AE86" s="29"/>
      <c r="AF86" s="29"/>
      <c r="AG86" s="29"/>
      <c r="AH86" s="29"/>
      <c r="AI86" s="29"/>
      <c r="AJ86" s="29"/>
      <c r="AK86" s="29"/>
      <c r="AL86" s="29"/>
      <c r="AM86" s="29"/>
      <c r="AN86" s="29"/>
      <c r="AO86" s="29"/>
      <c r="AP86" s="29"/>
      <c r="AQ86" s="29"/>
      <c r="AR86" s="29"/>
      <c r="AS86" s="29"/>
      <c r="AT86" s="29"/>
      <c r="AU86" s="29"/>
      <c r="AV86" s="29"/>
      <c r="AW86" s="29"/>
      <c r="AX86" s="29"/>
      <c r="AY86" s="29"/>
      <c r="AZ86" s="29"/>
    </row>
    <row r="87" spans="1:52" ht="14.25" x14ac:dyDescent="0.15">
      <c r="A87" s="640"/>
      <c r="B87" s="640"/>
      <c r="C87" s="640"/>
      <c r="D87" s="640"/>
      <c r="E87" s="640"/>
      <c r="F87" s="640"/>
      <c r="G87" s="640"/>
      <c r="H87" s="640"/>
      <c r="I87" s="640"/>
      <c r="J87" s="1408" t="s">
        <v>378</v>
      </c>
      <c r="K87" s="1408"/>
      <c r="L87" s="1408"/>
      <c r="M87" s="1408"/>
      <c r="N87" s="1408"/>
      <c r="O87" s="1408"/>
      <c r="P87" s="1408"/>
      <c r="Q87" s="1408"/>
      <c r="R87" s="1408"/>
      <c r="S87" s="640"/>
      <c r="T87" s="1410" t="e">
        <f>ROUNDDOWN(T85,-2)</f>
        <v>#REF!</v>
      </c>
      <c r="U87" s="1410"/>
      <c r="V87" s="1410"/>
      <c r="W87" s="1410"/>
      <c r="X87" s="640" t="s">
        <v>246</v>
      </c>
      <c r="Y87" s="640"/>
      <c r="Z87" s="657"/>
      <c r="AA87" s="29"/>
      <c r="AB87" s="565"/>
      <c r="AC87" s="565"/>
      <c r="AD87" s="565"/>
      <c r="AE87" s="29"/>
      <c r="AF87" s="29"/>
      <c r="AG87" s="29"/>
      <c r="AH87" s="29"/>
      <c r="AI87" s="29"/>
      <c r="AJ87" s="29"/>
      <c r="AK87" s="29"/>
      <c r="AL87" s="29"/>
      <c r="AM87" s="29"/>
      <c r="AN87" s="29"/>
      <c r="AO87" s="29"/>
      <c r="AP87" s="29"/>
      <c r="AQ87" s="656"/>
      <c r="AR87" s="29"/>
      <c r="AS87" s="1410"/>
      <c r="AT87" s="1410"/>
      <c r="AU87" s="1410"/>
      <c r="AV87" s="1410"/>
      <c r="AW87" s="640"/>
      <c r="AX87" s="640"/>
      <c r="AY87" s="29"/>
      <c r="AZ87" s="29"/>
    </row>
  </sheetData>
  <mergeCells count="375">
    <mergeCell ref="O81:P81"/>
    <mergeCell ref="T81:W81"/>
    <mergeCell ref="AN81:AO81"/>
    <mergeCell ref="AS81:AV81"/>
    <mergeCell ref="O82:P82"/>
    <mergeCell ref="T82:W82"/>
    <mergeCell ref="AN82:AO82"/>
    <mergeCell ref="AS82:AV82"/>
    <mergeCell ref="T77:W77"/>
    <mergeCell ref="T78:W78"/>
    <mergeCell ref="AS78:AV78"/>
    <mergeCell ref="T80:W80"/>
    <mergeCell ref="AH80:AJ80"/>
    <mergeCell ref="AM80:AN80"/>
    <mergeCell ref="AS80:AV80"/>
    <mergeCell ref="J87:R87"/>
    <mergeCell ref="T86:W86"/>
    <mergeCell ref="T87:W87"/>
    <mergeCell ref="AS87:AV87"/>
    <mergeCell ref="I83:J83"/>
    <mergeCell ref="T83:W83"/>
    <mergeCell ref="AH83:AI83"/>
    <mergeCell ref="AS83:AV83"/>
    <mergeCell ref="T85:W85"/>
    <mergeCell ref="AS85:AV85"/>
    <mergeCell ref="C70:AY70"/>
    <mergeCell ref="C71:AY71"/>
    <mergeCell ref="B73:AY74"/>
    <mergeCell ref="G76:I76"/>
    <mergeCell ref="N76:P76"/>
    <mergeCell ref="T76:W76"/>
    <mergeCell ref="AF76:AH76"/>
    <mergeCell ref="AM76:AO76"/>
    <mergeCell ref="AS76:AV76"/>
    <mergeCell ref="AV68:AY68"/>
    <mergeCell ref="P69:S69"/>
    <mergeCell ref="T69:W69"/>
    <mergeCell ref="X69:AA69"/>
    <mergeCell ref="AB69:AE69"/>
    <mergeCell ref="AF69:AI69"/>
    <mergeCell ref="AJ69:AM69"/>
    <mergeCell ref="AN69:AQ69"/>
    <mergeCell ref="AR69:AU69"/>
    <mergeCell ref="AV69:AY69"/>
    <mergeCell ref="B67:C68"/>
    <mergeCell ref="D67:K67"/>
    <mergeCell ref="L67:O67"/>
    <mergeCell ref="P67:S67"/>
    <mergeCell ref="T67:W67"/>
    <mergeCell ref="X67:AA67"/>
    <mergeCell ref="AB67:AE67"/>
    <mergeCell ref="AN67:AQ67"/>
    <mergeCell ref="AR67:AU67"/>
    <mergeCell ref="AJ68:AM68"/>
    <mergeCell ref="D68:K68"/>
    <mergeCell ref="L68:O68"/>
    <mergeCell ref="P68:S68"/>
    <mergeCell ref="T68:W68"/>
    <mergeCell ref="X68:AA68"/>
    <mergeCell ref="AB68:AE68"/>
    <mergeCell ref="AF68:AI68"/>
    <mergeCell ref="AN68:AQ68"/>
    <mergeCell ref="AR68:AU68"/>
    <mergeCell ref="L66:O66"/>
    <mergeCell ref="P66:S66"/>
    <mergeCell ref="T66:W66"/>
    <mergeCell ref="X66:AA66"/>
    <mergeCell ref="AB66:AE66"/>
    <mergeCell ref="AF66:AI66"/>
    <mergeCell ref="AJ66:AM66"/>
    <mergeCell ref="AN66:AQ66"/>
    <mergeCell ref="AR66:AU66"/>
    <mergeCell ref="AC59:AE60"/>
    <mergeCell ref="AF59:AJ60"/>
    <mergeCell ref="AK59:AO60"/>
    <mergeCell ref="AP59:AT60"/>
    <mergeCell ref="AU59:AY60"/>
    <mergeCell ref="AC58:AE58"/>
    <mergeCell ref="AV64:AY64"/>
    <mergeCell ref="B65:F65"/>
    <mergeCell ref="P65:S65"/>
    <mergeCell ref="T65:W65"/>
    <mergeCell ref="X65:AA65"/>
    <mergeCell ref="AB65:AE65"/>
    <mergeCell ref="AF65:AI65"/>
    <mergeCell ref="AJ65:AM65"/>
    <mergeCell ref="AN65:AQ65"/>
    <mergeCell ref="AR65:AU65"/>
    <mergeCell ref="J64:O64"/>
    <mergeCell ref="P64:S64"/>
    <mergeCell ref="T64:W64"/>
    <mergeCell ref="X64:AA64"/>
    <mergeCell ref="AB64:AE64"/>
    <mergeCell ref="AF64:AI64"/>
    <mergeCell ref="AV65:AY65"/>
    <mergeCell ref="BA54:BD55"/>
    <mergeCell ref="BA56:BD56"/>
    <mergeCell ref="AJ64:AM64"/>
    <mergeCell ref="AF67:AI67"/>
    <mergeCell ref="AJ67:AM67"/>
    <mergeCell ref="AF58:AJ58"/>
    <mergeCell ref="AN64:AQ64"/>
    <mergeCell ref="AR64:AU64"/>
    <mergeCell ref="AK58:AO58"/>
    <mergeCell ref="AP58:AT58"/>
    <mergeCell ref="AU58:AY58"/>
    <mergeCell ref="AV66:AY66"/>
    <mergeCell ref="AV67:AY67"/>
    <mergeCell ref="AU52:AV53"/>
    <mergeCell ref="AW52:AY53"/>
    <mergeCell ref="BA52:BD53"/>
    <mergeCell ref="B54:I55"/>
    <mergeCell ref="K54:M55"/>
    <mergeCell ref="P54:R55"/>
    <mergeCell ref="V54:Y55"/>
    <mergeCell ref="AC54:AE55"/>
    <mergeCell ref="AF54:AJ55"/>
    <mergeCell ref="AK54:AO55"/>
    <mergeCell ref="AC52:AE53"/>
    <mergeCell ref="AF52:AJ53"/>
    <mergeCell ref="AK52:AL53"/>
    <mergeCell ref="AM52:AO53"/>
    <mergeCell ref="AP52:AQ53"/>
    <mergeCell ref="AR52:AT53"/>
    <mergeCell ref="B48:D53"/>
    <mergeCell ref="E48:F53"/>
    <mergeCell ref="G52:I53"/>
    <mergeCell ref="K52:M53"/>
    <mergeCell ref="P52:R53"/>
    <mergeCell ref="V52:Y53"/>
    <mergeCell ref="AP54:AT55"/>
    <mergeCell ref="AU54:AY55"/>
    <mergeCell ref="AM50:AO51"/>
    <mergeCell ref="AP50:AQ51"/>
    <mergeCell ref="AR50:AT51"/>
    <mergeCell ref="AU50:AV51"/>
    <mergeCell ref="AW50:AY51"/>
    <mergeCell ref="BA50:BD51"/>
    <mergeCell ref="AU48:AV49"/>
    <mergeCell ref="AW48:AY49"/>
    <mergeCell ref="BA48:BD49"/>
    <mergeCell ref="AM48:AO49"/>
    <mergeCell ref="AP48:AQ49"/>
    <mergeCell ref="AR48:AT49"/>
    <mergeCell ref="G50:I51"/>
    <mergeCell ref="K50:M51"/>
    <mergeCell ref="P50:R51"/>
    <mergeCell ref="V50:Y51"/>
    <mergeCell ref="AC50:AE51"/>
    <mergeCell ref="AF50:AJ51"/>
    <mergeCell ref="AK50:AL51"/>
    <mergeCell ref="AC48:AE49"/>
    <mergeCell ref="AF48:AJ49"/>
    <mergeCell ref="AK48:AL49"/>
    <mergeCell ref="G48:I49"/>
    <mergeCell ref="K48:M49"/>
    <mergeCell ref="P48:R49"/>
    <mergeCell ref="V48:Y49"/>
    <mergeCell ref="AP42:AT43"/>
    <mergeCell ref="AU42:AY43"/>
    <mergeCell ref="BA42:BD43"/>
    <mergeCell ref="BA44:BD45"/>
    <mergeCell ref="C46:H46"/>
    <mergeCell ref="J46:N47"/>
    <mergeCell ref="O46:S47"/>
    <mergeCell ref="U46:X47"/>
    <mergeCell ref="Y46:Z47"/>
    <mergeCell ref="AC46:AE47"/>
    <mergeCell ref="AF46:AJ47"/>
    <mergeCell ref="AK46:AO46"/>
    <mergeCell ref="AP46:AT46"/>
    <mergeCell ref="AU46:AY46"/>
    <mergeCell ref="BA46:BD47"/>
    <mergeCell ref="C47:H47"/>
    <mergeCell ref="AK47:AO47"/>
    <mergeCell ref="AP47:AT47"/>
    <mergeCell ref="AU47:AY47"/>
    <mergeCell ref="B42:I43"/>
    <mergeCell ref="K42:M43"/>
    <mergeCell ref="P42:R43"/>
    <mergeCell ref="V42:Y43"/>
    <mergeCell ref="AC42:AE43"/>
    <mergeCell ref="AF42:AJ43"/>
    <mergeCell ref="AK42:AO43"/>
    <mergeCell ref="AC40:AE41"/>
    <mergeCell ref="AF40:AJ41"/>
    <mergeCell ref="AK40:AL41"/>
    <mergeCell ref="AM40:AO41"/>
    <mergeCell ref="B36:D41"/>
    <mergeCell ref="E36:F41"/>
    <mergeCell ref="G40:I41"/>
    <mergeCell ref="K40:M41"/>
    <mergeCell ref="P40:R41"/>
    <mergeCell ref="V40:Y41"/>
    <mergeCell ref="BA38:BD39"/>
    <mergeCell ref="AU36:AV37"/>
    <mergeCell ref="AW36:AY37"/>
    <mergeCell ref="BA36:BD37"/>
    <mergeCell ref="AM36:AO37"/>
    <mergeCell ref="AP36:AQ37"/>
    <mergeCell ref="AR36:AT37"/>
    <mergeCell ref="AU40:AV41"/>
    <mergeCell ref="AW40:AY41"/>
    <mergeCell ref="BA40:BD41"/>
    <mergeCell ref="AP40:AQ41"/>
    <mergeCell ref="AR40:AT41"/>
    <mergeCell ref="AP28:AQ29"/>
    <mergeCell ref="AR28:AT29"/>
    <mergeCell ref="AU28:AV29"/>
    <mergeCell ref="AW28:AY29"/>
    <mergeCell ref="BA28:BD29"/>
    <mergeCell ref="G38:I39"/>
    <mergeCell ref="K38:M39"/>
    <mergeCell ref="P38:R39"/>
    <mergeCell ref="V38:Y39"/>
    <mergeCell ref="AC38:AE39"/>
    <mergeCell ref="AF38:AJ39"/>
    <mergeCell ref="AK38:AL39"/>
    <mergeCell ref="AC36:AE37"/>
    <mergeCell ref="AF36:AJ37"/>
    <mergeCell ref="AK36:AL37"/>
    <mergeCell ref="G36:I37"/>
    <mergeCell ref="K36:M37"/>
    <mergeCell ref="P36:R37"/>
    <mergeCell ref="V36:Y37"/>
    <mergeCell ref="AM38:AO39"/>
    <mergeCell ref="AP38:AQ39"/>
    <mergeCell ref="AR38:AT39"/>
    <mergeCell ref="AU38:AV39"/>
    <mergeCell ref="AW38:AY39"/>
    <mergeCell ref="BA32:BD33"/>
    <mergeCell ref="C34:H34"/>
    <mergeCell ref="J34:N35"/>
    <mergeCell ref="O34:S35"/>
    <mergeCell ref="U34:X35"/>
    <mergeCell ref="Y34:Z35"/>
    <mergeCell ref="AC34:AE35"/>
    <mergeCell ref="AF34:AJ35"/>
    <mergeCell ref="AK34:AO34"/>
    <mergeCell ref="AP34:AT34"/>
    <mergeCell ref="AU34:AY34"/>
    <mergeCell ref="BA34:BD35"/>
    <mergeCell ref="C35:H35"/>
    <mergeCell ref="AK35:AO35"/>
    <mergeCell ref="AP35:AT35"/>
    <mergeCell ref="AU35:AY35"/>
    <mergeCell ref="B30:I31"/>
    <mergeCell ref="K30:M31"/>
    <mergeCell ref="P30:R31"/>
    <mergeCell ref="V30:Y31"/>
    <mergeCell ref="AC30:AE31"/>
    <mergeCell ref="AF30:AJ31"/>
    <mergeCell ref="AK30:AO31"/>
    <mergeCell ref="G28:I29"/>
    <mergeCell ref="K28:M29"/>
    <mergeCell ref="P28:R29"/>
    <mergeCell ref="V28:Y29"/>
    <mergeCell ref="AP30:AT31"/>
    <mergeCell ref="AU30:AY31"/>
    <mergeCell ref="BA30:BD31"/>
    <mergeCell ref="B24:D29"/>
    <mergeCell ref="E24:F29"/>
    <mergeCell ref="P24:R25"/>
    <mergeCell ref="G26:I27"/>
    <mergeCell ref="K26:M27"/>
    <mergeCell ref="P26:R27"/>
    <mergeCell ref="V26:Y27"/>
    <mergeCell ref="AC26:AE27"/>
    <mergeCell ref="AF26:AJ27"/>
    <mergeCell ref="AK26:AL27"/>
    <mergeCell ref="AM26:AO27"/>
    <mergeCell ref="AP26:AQ27"/>
    <mergeCell ref="AC28:AE29"/>
    <mergeCell ref="AF28:AJ29"/>
    <mergeCell ref="AK28:AL29"/>
    <mergeCell ref="AM28:AO29"/>
    <mergeCell ref="AC24:AE25"/>
    <mergeCell ref="AF24:AJ25"/>
    <mergeCell ref="AR26:AT27"/>
    <mergeCell ref="AU26:AV27"/>
    <mergeCell ref="AW26:AY27"/>
    <mergeCell ref="AK18:AO19"/>
    <mergeCell ref="AP18:AT19"/>
    <mergeCell ref="AU18:AY19"/>
    <mergeCell ref="BA18:BD19"/>
    <mergeCell ref="BA20:BD21"/>
    <mergeCell ref="BA24:BD25"/>
    <mergeCell ref="AK24:AL25"/>
    <mergeCell ref="AM24:AO25"/>
    <mergeCell ref="AP24:AQ25"/>
    <mergeCell ref="AR24:AT25"/>
    <mergeCell ref="AU24:AV25"/>
    <mergeCell ref="AW24:AY25"/>
    <mergeCell ref="BA26:BD27"/>
    <mergeCell ref="C22:H22"/>
    <mergeCell ref="J22:N23"/>
    <mergeCell ref="O22:S23"/>
    <mergeCell ref="U22:X23"/>
    <mergeCell ref="Y22:Z23"/>
    <mergeCell ref="C23:H23"/>
    <mergeCell ref="AK23:AO23"/>
    <mergeCell ref="AP23:AT23"/>
    <mergeCell ref="AU23:AY23"/>
    <mergeCell ref="AP22:AT22"/>
    <mergeCell ref="AU22:AY22"/>
    <mergeCell ref="AC22:AE23"/>
    <mergeCell ref="AF22:AJ23"/>
    <mergeCell ref="AK22:AO22"/>
    <mergeCell ref="BA22:BD23"/>
    <mergeCell ref="V24:Y25"/>
    <mergeCell ref="G24:I25"/>
    <mergeCell ref="K24:M25"/>
    <mergeCell ref="B18:I19"/>
    <mergeCell ref="K18:M19"/>
    <mergeCell ref="P18:R19"/>
    <mergeCell ref="V18:Y19"/>
    <mergeCell ref="AC18:AE19"/>
    <mergeCell ref="AF18:AJ19"/>
    <mergeCell ref="G16:I17"/>
    <mergeCell ref="K16:M17"/>
    <mergeCell ref="P16:R17"/>
    <mergeCell ref="V16:Y17"/>
    <mergeCell ref="B12:D17"/>
    <mergeCell ref="E12:F17"/>
    <mergeCell ref="G12:I13"/>
    <mergeCell ref="K12:M13"/>
    <mergeCell ref="P12:R13"/>
    <mergeCell ref="AC16:AE17"/>
    <mergeCell ref="AF16:AJ17"/>
    <mergeCell ref="G14:I15"/>
    <mergeCell ref="K14:M15"/>
    <mergeCell ref="P14:R15"/>
    <mergeCell ref="V14:Y15"/>
    <mergeCell ref="AC14:AE15"/>
    <mergeCell ref="AF14:AJ15"/>
    <mergeCell ref="AF12:AJ13"/>
    <mergeCell ref="AK16:AL17"/>
    <mergeCell ref="AM16:AO17"/>
    <mergeCell ref="AP16:AQ17"/>
    <mergeCell ref="AR16:AT17"/>
    <mergeCell ref="AU16:AV17"/>
    <mergeCell ref="AW16:AY17"/>
    <mergeCell ref="BA16:BD17"/>
    <mergeCell ref="AW12:AY13"/>
    <mergeCell ref="BA12:BD13"/>
    <mergeCell ref="AK14:AL15"/>
    <mergeCell ref="AM14:AO15"/>
    <mergeCell ref="AK12:AL13"/>
    <mergeCell ref="AM12:AO13"/>
    <mergeCell ref="AP12:AQ13"/>
    <mergeCell ref="AR12:AT13"/>
    <mergeCell ref="AU12:AV13"/>
    <mergeCell ref="V12:Y13"/>
    <mergeCell ref="AC12:AE13"/>
    <mergeCell ref="AP14:AQ15"/>
    <mergeCell ref="AR14:AT15"/>
    <mergeCell ref="AU14:AV15"/>
    <mergeCell ref="AW14:AY15"/>
    <mergeCell ref="BA14:BD15"/>
    <mergeCell ref="AS1:AZ1"/>
    <mergeCell ref="C10:H10"/>
    <mergeCell ref="J10:N11"/>
    <mergeCell ref="O10:S11"/>
    <mergeCell ref="U10:X11"/>
    <mergeCell ref="Y10:Z11"/>
    <mergeCell ref="AC10:AE11"/>
    <mergeCell ref="AF10:AJ11"/>
    <mergeCell ref="AK10:AO10"/>
    <mergeCell ref="AP10:AT10"/>
    <mergeCell ref="AU10:AY10"/>
    <mergeCell ref="C11:H11"/>
    <mergeCell ref="AK11:AO11"/>
    <mergeCell ref="AP11:AT11"/>
    <mergeCell ref="AU11:AY11"/>
    <mergeCell ref="AQ2:AZ2"/>
  </mergeCells>
  <phoneticPr fontId="2"/>
  <printOptions horizontalCentered="1"/>
  <pageMargins left="0.78740157480314965" right="0.78740157480314965" top="0.78740157480314965" bottom="0.78740157480314965" header="0.51181102362204722" footer="0.51181102362204722"/>
  <pageSetup paperSize="9" scale="66"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1" tint="0.14999847407452621"/>
    <pageSetUpPr fitToPage="1"/>
  </sheetPr>
  <dimension ref="B1:W18"/>
  <sheetViews>
    <sheetView workbookViewId="0"/>
  </sheetViews>
  <sheetFormatPr defaultRowHeight="13.5" x14ac:dyDescent="0.15"/>
  <cols>
    <col min="1" max="1" width="2.75" customWidth="1"/>
    <col min="3" max="3" width="16.25" customWidth="1"/>
    <col min="4" max="4" width="12.875" customWidth="1"/>
    <col min="5" max="5" width="5.75" hidden="1" customWidth="1"/>
    <col min="6" max="6" width="0.125" customWidth="1"/>
    <col min="7" max="7" width="8.875" customWidth="1"/>
    <col min="8" max="8" width="6.75" hidden="1" customWidth="1"/>
    <col min="9" max="9" width="13.5" customWidth="1"/>
    <col min="10" max="11" width="10" bestFit="1" customWidth="1"/>
    <col min="12" max="12" width="11.25" bestFit="1" customWidth="1"/>
    <col min="13" max="13" width="11.875" customWidth="1"/>
    <col min="14" max="14" width="14.25" customWidth="1"/>
    <col min="15" max="15" width="11.25" customWidth="1"/>
    <col min="16" max="17" width="15" bestFit="1" customWidth="1"/>
    <col min="20" max="20" width="10.5" hidden="1" customWidth="1"/>
    <col min="21" max="21" width="10.5" bestFit="1" customWidth="1"/>
    <col min="22" max="22" width="10.5" customWidth="1"/>
    <col min="23" max="23" width="25.25" customWidth="1"/>
  </cols>
  <sheetData>
    <row r="1" spans="2:23" ht="17.25" x14ac:dyDescent="0.15">
      <c r="B1" s="291" t="s">
        <v>205</v>
      </c>
      <c r="C1" s="133"/>
      <c r="D1" s="133"/>
      <c r="E1" s="133"/>
      <c r="F1" s="133"/>
      <c r="G1" s="133"/>
      <c r="H1" s="133"/>
      <c r="I1" s="133"/>
      <c r="J1" s="133"/>
      <c r="K1" s="133"/>
      <c r="L1" s="133"/>
      <c r="M1" s="133"/>
      <c r="N1" s="133"/>
      <c r="O1" s="133"/>
      <c r="P1" s="133"/>
      <c r="Q1" s="133"/>
      <c r="R1" s="133"/>
      <c r="S1" s="133"/>
      <c r="T1" s="133"/>
      <c r="U1" s="133"/>
      <c r="V1" s="133"/>
      <c r="W1" s="292">
        <f ca="1">TODAY()</f>
        <v>45398</v>
      </c>
    </row>
    <row r="2" spans="2:23" ht="18" thickBot="1" x14ac:dyDescent="0.2">
      <c r="B2" s="95"/>
    </row>
    <row r="3" spans="2:23" x14ac:dyDescent="0.15">
      <c r="B3" s="1446" t="s">
        <v>128</v>
      </c>
      <c r="C3" s="1447"/>
      <c r="D3" s="1452" t="s">
        <v>129</v>
      </c>
      <c r="E3" s="1453"/>
      <c r="F3" s="1454"/>
      <c r="G3" s="1455" t="s">
        <v>130</v>
      </c>
      <c r="H3" s="1453"/>
      <c r="I3" s="1453"/>
      <c r="J3" s="1453"/>
      <c r="K3" s="1453"/>
      <c r="L3" s="1453"/>
      <c r="M3" s="1456"/>
      <c r="N3" s="300"/>
      <c r="O3" s="1432" t="s">
        <v>131</v>
      </c>
      <c r="P3" s="1432"/>
      <c r="Q3" s="1432"/>
      <c r="R3" s="1432"/>
      <c r="S3" s="1432"/>
      <c r="T3" s="1432"/>
      <c r="U3" s="1432"/>
      <c r="V3" s="1432"/>
      <c r="W3" s="1433"/>
    </row>
    <row r="4" spans="2:23" ht="14.25" x14ac:dyDescent="0.15">
      <c r="B4" s="1448"/>
      <c r="C4" s="1449"/>
      <c r="D4" s="294" t="s">
        <v>132</v>
      </c>
      <c r="E4" s="295" t="s">
        <v>133</v>
      </c>
      <c r="F4" s="308" t="s">
        <v>134</v>
      </c>
      <c r="G4" s="310" t="s">
        <v>135</v>
      </c>
      <c r="H4" s="295" t="s">
        <v>117</v>
      </c>
      <c r="I4" s="297" t="s">
        <v>136</v>
      </c>
      <c r="J4" s="297" t="s">
        <v>25</v>
      </c>
      <c r="K4" s="297" t="s">
        <v>26</v>
      </c>
      <c r="L4" s="297" t="s">
        <v>83</v>
      </c>
      <c r="M4" s="299" t="s">
        <v>137</v>
      </c>
      <c r="N4" s="299" t="s">
        <v>193</v>
      </c>
      <c r="O4" s="297" t="s">
        <v>120</v>
      </c>
      <c r="P4" s="297" t="s">
        <v>138</v>
      </c>
      <c r="Q4" s="297" t="s">
        <v>139</v>
      </c>
      <c r="R4" s="1434" t="s">
        <v>28</v>
      </c>
      <c r="S4" s="1435"/>
      <c r="T4" s="1436" t="s">
        <v>5</v>
      </c>
      <c r="U4" s="1435"/>
      <c r="V4" s="307" t="s">
        <v>197</v>
      </c>
      <c r="W4" s="305" t="s">
        <v>86</v>
      </c>
    </row>
    <row r="5" spans="2:23" ht="15" thickBot="1" x14ac:dyDescent="0.2">
      <c r="B5" s="1450"/>
      <c r="C5" s="1451"/>
      <c r="D5" s="293"/>
      <c r="E5" s="296"/>
      <c r="F5" s="309"/>
      <c r="G5" s="311"/>
      <c r="H5" s="296"/>
      <c r="I5" s="298"/>
      <c r="J5" s="298"/>
      <c r="K5" s="298"/>
      <c r="L5" s="298"/>
      <c r="M5" s="298"/>
      <c r="N5" s="298"/>
      <c r="O5" s="298"/>
      <c r="P5" s="298" t="s">
        <v>144</v>
      </c>
      <c r="Q5" s="298"/>
      <c r="R5" s="302" t="s">
        <v>64</v>
      </c>
      <c r="S5" s="303" t="s">
        <v>30</v>
      </c>
      <c r="T5" s="301" t="s">
        <v>111</v>
      </c>
      <c r="U5" s="304" t="s">
        <v>29</v>
      </c>
      <c r="V5" s="303" t="s">
        <v>198</v>
      </c>
      <c r="W5" s="306"/>
    </row>
    <row r="6" spans="2:23" ht="14.25" thickTop="1" x14ac:dyDescent="0.15">
      <c r="B6" s="1438" t="s">
        <v>189</v>
      </c>
      <c r="C6" s="1439"/>
      <c r="D6" s="312" t="s">
        <v>204</v>
      </c>
      <c r="E6" s="322"/>
      <c r="F6" s="323"/>
      <c r="G6" s="313">
        <v>113</v>
      </c>
      <c r="H6" s="322"/>
      <c r="I6" s="314" t="s">
        <v>201</v>
      </c>
      <c r="J6" s="314">
        <v>1755.65</v>
      </c>
      <c r="K6" s="314">
        <v>1230.8</v>
      </c>
      <c r="L6" s="315">
        <v>14137.59</v>
      </c>
      <c r="M6" s="324" t="s">
        <v>206</v>
      </c>
      <c r="N6" s="325" t="s">
        <v>195</v>
      </c>
      <c r="O6" s="322"/>
      <c r="P6" s="315">
        <v>40900</v>
      </c>
      <c r="Q6" s="315" t="s">
        <v>191</v>
      </c>
      <c r="R6" s="315">
        <v>86.81</v>
      </c>
      <c r="S6" s="326">
        <f>R6*0.3025</f>
        <v>26.260024999999999</v>
      </c>
      <c r="T6" s="326"/>
      <c r="U6" s="326">
        <f>P6/S6</f>
        <v>1557.5004212676874</v>
      </c>
      <c r="V6" s="326">
        <f>U6/1.3</f>
        <v>1198.0772471289904</v>
      </c>
      <c r="W6" s="316" t="s">
        <v>190</v>
      </c>
    </row>
    <row r="7" spans="2:23" x14ac:dyDescent="0.15">
      <c r="B7" s="1440"/>
      <c r="C7" s="1441"/>
      <c r="D7" s="327"/>
      <c r="E7" s="328"/>
      <c r="F7" s="329"/>
      <c r="G7" s="330"/>
      <c r="H7" s="328"/>
      <c r="I7" s="328"/>
      <c r="J7" s="328"/>
      <c r="K7" s="328"/>
      <c r="L7" s="328"/>
      <c r="M7" s="331"/>
      <c r="N7" s="331"/>
      <c r="O7" s="332"/>
      <c r="P7" s="317">
        <v>36200</v>
      </c>
      <c r="Q7" s="317" t="s">
        <v>192</v>
      </c>
      <c r="R7" s="317">
        <v>63.41</v>
      </c>
      <c r="S7" s="333">
        <f>R7*0.3025</f>
        <v>19.181524999999997</v>
      </c>
      <c r="T7" s="333"/>
      <c r="U7" s="333">
        <f>P7/S7</f>
        <v>1887.2326366125742</v>
      </c>
      <c r="V7" s="333">
        <f>U7/1.3</f>
        <v>1451.7174127789033</v>
      </c>
      <c r="W7" s="334"/>
    </row>
    <row r="8" spans="2:23" x14ac:dyDescent="0.15">
      <c r="B8" s="1442" t="s">
        <v>196</v>
      </c>
      <c r="C8" s="1443"/>
      <c r="D8" s="312" t="s">
        <v>203</v>
      </c>
      <c r="E8" s="332"/>
      <c r="F8" s="335"/>
      <c r="G8" s="318">
        <v>77</v>
      </c>
      <c r="H8" s="332"/>
      <c r="I8" s="319" t="s">
        <v>200</v>
      </c>
      <c r="J8" s="317">
        <v>1688.38</v>
      </c>
      <c r="K8" s="319">
        <v>1334.59</v>
      </c>
      <c r="L8" s="319">
        <v>8589.93</v>
      </c>
      <c r="M8" s="336" t="s">
        <v>202</v>
      </c>
      <c r="N8" s="317" t="s">
        <v>194</v>
      </c>
      <c r="O8" s="332"/>
      <c r="P8" s="320">
        <v>29500</v>
      </c>
      <c r="Q8" s="317" t="s">
        <v>191</v>
      </c>
      <c r="R8" s="320">
        <v>76.569999999999993</v>
      </c>
      <c r="S8" s="333">
        <f>R8*0.3025</f>
        <v>23.162424999999999</v>
      </c>
      <c r="T8" s="337"/>
      <c r="U8" s="333">
        <f>P8/S8</f>
        <v>1273.6144855299046</v>
      </c>
      <c r="V8" s="333">
        <f>U8/1.3</f>
        <v>979.7034504076189</v>
      </c>
      <c r="W8" s="321" t="s">
        <v>199</v>
      </c>
    </row>
    <row r="9" spans="2:23" ht="14.25" thickBot="1" x14ac:dyDescent="0.2">
      <c r="B9" s="1444"/>
      <c r="C9" s="1445"/>
      <c r="D9" s="338"/>
      <c r="E9" s="339"/>
      <c r="F9" s="340"/>
      <c r="G9" s="341"/>
      <c r="H9" s="339"/>
      <c r="I9" s="339"/>
      <c r="J9" s="339"/>
      <c r="K9" s="339"/>
      <c r="L9" s="339"/>
      <c r="M9" s="342"/>
      <c r="N9" s="342"/>
      <c r="O9" s="343"/>
      <c r="P9" s="349">
        <v>25000</v>
      </c>
      <c r="Q9" s="350" t="s">
        <v>192</v>
      </c>
      <c r="R9" s="349">
        <v>66.209999999999994</v>
      </c>
      <c r="S9" s="344">
        <f>R9*0.3025</f>
        <v>20.028524999999998</v>
      </c>
      <c r="T9" s="345"/>
      <c r="U9" s="344">
        <f>P9/S9</f>
        <v>1248.2197266149155</v>
      </c>
      <c r="V9" s="344">
        <f>U9/1.3</f>
        <v>960.16902047301187</v>
      </c>
      <c r="W9" s="346"/>
    </row>
    <row r="11" spans="2:23" ht="18" thickBot="1" x14ac:dyDescent="0.2">
      <c r="B11" s="96" t="s">
        <v>146</v>
      </c>
    </row>
    <row r="12" spans="2:23" x14ac:dyDescent="0.15">
      <c r="B12" s="1426" t="s">
        <v>128</v>
      </c>
      <c r="C12" s="1427"/>
      <c r="D12" s="1427" t="s">
        <v>129</v>
      </c>
      <c r="E12" s="1427"/>
      <c r="F12" s="1457"/>
      <c r="G12" s="1437" t="s">
        <v>130</v>
      </c>
      <c r="H12" s="1427"/>
      <c r="I12" s="1427"/>
      <c r="J12" s="1427"/>
      <c r="K12" s="361" t="s">
        <v>131</v>
      </c>
      <c r="L12" s="361"/>
      <c r="M12" s="361"/>
      <c r="N12" s="361"/>
      <c r="O12" s="361"/>
      <c r="P12" s="361"/>
      <c r="Q12" s="362"/>
    </row>
    <row r="13" spans="2:23" ht="14.25" x14ac:dyDescent="0.15">
      <c r="B13" s="1428"/>
      <c r="C13" s="1429"/>
      <c r="D13" s="351" t="s">
        <v>132</v>
      </c>
      <c r="E13" s="352" t="s">
        <v>133</v>
      </c>
      <c r="F13" s="353" t="s">
        <v>134</v>
      </c>
      <c r="G13" s="354" t="s">
        <v>117</v>
      </c>
      <c r="H13" s="352" t="s">
        <v>84</v>
      </c>
      <c r="I13" s="352" t="s">
        <v>136</v>
      </c>
      <c r="J13" s="352" t="s">
        <v>141</v>
      </c>
      <c r="K13" s="352" t="s">
        <v>120</v>
      </c>
      <c r="L13" s="352" t="s">
        <v>142</v>
      </c>
      <c r="M13" s="355" t="s">
        <v>28</v>
      </c>
      <c r="N13" s="355"/>
      <c r="O13" s="355" t="s">
        <v>5</v>
      </c>
      <c r="P13" s="352" t="s">
        <v>86</v>
      </c>
      <c r="Q13" s="363"/>
      <c r="S13" s="347"/>
    </row>
    <row r="14" spans="2:23" ht="15" thickBot="1" x14ac:dyDescent="0.2">
      <c r="B14" s="1430"/>
      <c r="C14" s="1431"/>
      <c r="D14" s="356"/>
      <c r="E14" s="357"/>
      <c r="F14" s="358"/>
      <c r="G14" s="359"/>
      <c r="H14" s="357"/>
      <c r="I14" s="357"/>
      <c r="J14" s="357"/>
      <c r="K14" s="357"/>
      <c r="L14" s="357" t="s">
        <v>145</v>
      </c>
      <c r="M14" s="360" t="s">
        <v>143</v>
      </c>
      <c r="N14" s="360" t="s">
        <v>30</v>
      </c>
      <c r="O14" s="360" t="s">
        <v>73</v>
      </c>
      <c r="P14" s="357"/>
      <c r="Q14" s="364"/>
      <c r="S14" s="347"/>
    </row>
    <row r="15" spans="2:23" ht="15" thickTop="1" x14ac:dyDescent="0.15">
      <c r="B15" s="1424" t="s">
        <v>121</v>
      </c>
      <c r="C15" s="1425"/>
      <c r="D15" s="325" t="s">
        <v>207</v>
      </c>
      <c r="E15" s="368"/>
      <c r="F15" s="369"/>
      <c r="G15" s="365"/>
      <c r="H15" s="368"/>
      <c r="I15" s="325" t="s">
        <v>218</v>
      </c>
      <c r="J15" s="325">
        <v>50</v>
      </c>
      <c r="K15" s="368"/>
      <c r="L15" s="325">
        <v>129.6</v>
      </c>
      <c r="M15" s="325">
        <v>67.14</v>
      </c>
      <c r="N15" s="370">
        <f>M15*0.3025</f>
        <v>20.309850000000001</v>
      </c>
      <c r="O15" s="371">
        <f>L15/N15</f>
        <v>6.3811401856734538</v>
      </c>
      <c r="P15" s="372" t="s">
        <v>210</v>
      </c>
      <c r="Q15" s="366" t="s">
        <v>213</v>
      </c>
      <c r="S15" s="348"/>
    </row>
    <row r="16" spans="2:23" ht="36" x14ac:dyDescent="0.15">
      <c r="B16" s="1420" t="s">
        <v>121</v>
      </c>
      <c r="C16" s="1421"/>
      <c r="D16" s="373" t="s">
        <v>207</v>
      </c>
      <c r="E16" s="374"/>
      <c r="F16" s="375"/>
      <c r="G16" s="376"/>
      <c r="H16" s="374"/>
      <c r="I16" s="373" t="s">
        <v>208</v>
      </c>
      <c r="J16" s="373">
        <v>27</v>
      </c>
      <c r="K16" s="374"/>
      <c r="L16" s="374">
        <v>130</v>
      </c>
      <c r="M16" s="373">
        <v>40.85</v>
      </c>
      <c r="N16" s="377">
        <f>M16*0.3025</f>
        <v>12.357125</v>
      </c>
      <c r="O16" s="378">
        <f>L16/N16</f>
        <v>10.520246416541065</v>
      </c>
      <c r="P16" s="379" t="s">
        <v>210</v>
      </c>
      <c r="Q16" s="380" t="s">
        <v>212</v>
      </c>
      <c r="S16" s="348"/>
    </row>
    <row r="17" spans="2:19" ht="24" x14ac:dyDescent="0.15">
      <c r="B17" s="1420" t="s">
        <v>121</v>
      </c>
      <c r="C17" s="1421"/>
      <c r="D17" s="373" t="s">
        <v>207</v>
      </c>
      <c r="E17" s="374"/>
      <c r="F17" s="375"/>
      <c r="G17" s="376"/>
      <c r="H17" s="374"/>
      <c r="I17" s="373" t="s">
        <v>209</v>
      </c>
      <c r="J17" s="373">
        <v>25</v>
      </c>
      <c r="K17" s="374"/>
      <c r="L17" s="373">
        <v>16</v>
      </c>
      <c r="M17" s="373">
        <v>59.95</v>
      </c>
      <c r="N17" s="377">
        <f>M17*0.3025</f>
        <v>18.134875000000001</v>
      </c>
      <c r="O17" s="378">
        <f>L17/N17</f>
        <v>0.88227793133396282</v>
      </c>
      <c r="P17" s="379" t="s">
        <v>210</v>
      </c>
      <c r="Q17" s="380" t="s">
        <v>211</v>
      </c>
      <c r="S17" s="348"/>
    </row>
    <row r="18" spans="2:19" ht="15" thickBot="1" x14ac:dyDescent="0.2">
      <c r="B18" s="1422" t="s">
        <v>217</v>
      </c>
      <c r="C18" s="1423"/>
      <c r="D18" s="381" t="s">
        <v>214</v>
      </c>
      <c r="E18" s="382"/>
      <c r="F18" s="383"/>
      <c r="G18" s="384"/>
      <c r="H18" s="382"/>
      <c r="I18" s="381" t="s">
        <v>215</v>
      </c>
      <c r="J18" s="381">
        <v>26</v>
      </c>
      <c r="K18" s="382"/>
      <c r="L18" s="381">
        <v>11.75</v>
      </c>
      <c r="M18" s="381">
        <v>89.98</v>
      </c>
      <c r="N18" s="385">
        <f>M18*0.3025</f>
        <v>27.21895</v>
      </c>
      <c r="O18" s="386">
        <f>L18/N18</f>
        <v>0.43168454330530753</v>
      </c>
      <c r="P18" s="381" t="s">
        <v>216</v>
      </c>
      <c r="Q18" s="367"/>
      <c r="S18" s="348"/>
    </row>
  </sheetData>
  <mergeCells count="17">
    <mergeCell ref="O3:W3"/>
    <mergeCell ref="R4:S4"/>
    <mergeCell ref="T4:U4"/>
    <mergeCell ref="G12:J12"/>
    <mergeCell ref="B6:C6"/>
    <mergeCell ref="B7:C7"/>
    <mergeCell ref="B8:C8"/>
    <mergeCell ref="B9:C9"/>
    <mergeCell ref="B3:C5"/>
    <mergeCell ref="D3:F3"/>
    <mergeCell ref="G3:M3"/>
    <mergeCell ref="D12:F12"/>
    <mergeCell ref="B17:C17"/>
    <mergeCell ref="B18:C18"/>
    <mergeCell ref="B15:C15"/>
    <mergeCell ref="B16:C16"/>
    <mergeCell ref="B12:C14"/>
  </mergeCells>
  <phoneticPr fontId="2"/>
  <pageMargins left="0.7" right="0.7" top="0.75" bottom="0.75" header="0.3" footer="0.3"/>
  <pageSetup paperSize="9"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1" tint="0.14999847407452621"/>
  </sheetPr>
  <dimension ref="A1:L72"/>
  <sheetViews>
    <sheetView workbookViewId="0"/>
  </sheetViews>
  <sheetFormatPr defaultColWidth="9" defaultRowHeight="12" x14ac:dyDescent="0.15"/>
  <cols>
    <col min="1" max="16384" width="9" style="104"/>
  </cols>
  <sheetData>
    <row r="1" spans="1:12" ht="12.75" thickBot="1" x14ac:dyDescent="0.2">
      <c r="A1" s="101"/>
      <c r="B1" s="102" t="s">
        <v>148</v>
      </c>
      <c r="C1" s="102" t="s">
        <v>149</v>
      </c>
      <c r="D1" s="102" t="s">
        <v>150</v>
      </c>
      <c r="E1" s="103"/>
      <c r="F1" s="102" t="s">
        <v>148</v>
      </c>
      <c r="G1" s="102" t="s">
        <v>149</v>
      </c>
      <c r="H1" s="102" t="s">
        <v>150</v>
      </c>
      <c r="I1" s="103"/>
      <c r="J1" s="102" t="s">
        <v>148</v>
      </c>
      <c r="K1" s="102" t="s">
        <v>149</v>
      </c>
      <c r="L1" s="102" t="s">
        <v>150</v>
      </c>
    </row>
    <row r="2" spans="1:12" ht="12.75" thickBot="1" x14ac:dyDescent="0.2">
      <c r="A2" s="105"/>
      <c r="B2" s="106">
        <v>48</v>
      </c>
      <c r="C2" s="106">
        <v>0</v>
      </c>
      <c r="D2" s="106">
        <v>1000</v>
      </c>
      <c r="E2" s="105"/>
      <c r="F2" s="106">
        <v>90</v>
      </c>
      <c r="G2" s="106">
        <v>0</v>
      </c>
      <c r="H2" s="106">
        <v>1000</v>
      </c>
      <c r="I2" s="105"/>
      <c r="J2" s="106">
        <v>70</v>
      </c>
      <c r="K2" s="106">
        <v>0</v>
      </c>
      <c r="L2" s="106">
        <v>1000</v>
      </c>
    </row>
    <row r="3" spans="1:12" ht="12.75" thickBot="1" x14ac:dyDescent="0.2">
      <c r="A3" s="107" t="s">
        <v>151</v>
      </c>
      <c r="B3" s="106">
        <v>48</v>
      </c>
      <c r="C3" s="108">
        <v>1</v>
      </c>
      <c r="D3" s="109">
        <v>983</v>
      </c>
      <c r="E3" s="110" t="s">
        <v>152</v>
      </c>
      <c r="F3" s="106">
        <v>90</v>
      </c>
      <c r="G3" s="108">
        <v>1</v>
      </c>
      <c r="H3" s="109">
        <v>991</v>
      </c>
      <c r="I3" s="110" t="s">
        <v>152</v>
      </c>
      <c r="J3" s="106">
        <v>70</v>
      </c>
      <c r="K3" s="108">
        <v>1</v>
      </c>
      <c r="L3" s="109">
        <v>989</v>
      </c>
    </row>
    <row r="4" spans="1:12" ht="12.75" thickBot="1" x14ac:dyDescent="0.2">
      <c r="A4" s="111"/>
      <c r="B4" s="106">
        <v>48</v>
      </c>
      <c r="C4" s="112">
        <v>2</v>
      </c>
      <c r="D4" s="112">
        <v>967</v>
      </c>
      <c r="E4" s="113"/>
      <c r="F4" s="106">
        <v>90</v>
      </c>
      <c r="G4" s="112">
        <v>2</v>
      </c>
      <c r="H4" s="112">
        <v>982</v>
      </c>
      <c r="I4" s="110" t="s">
        <v>153</v>
      </c>
      <c r="J4" s="106">
        <v>70</v>
      </c>
      <c r="K4" s="112">
        <v>2</v>
      </c>
      <c r="L4" s="112">
        <v>977</v>
      </c>
    </row>
    <row r="5" spans="1:12" ht="12.75" thickBot="1" x14ac:dyDescent="0.2">
      <c r="A5" s="111"/>
      <c r="B5" s="106">
        <v>48</v>
      </c>
      <c r="C5" s="112">
        <v>3</v>
      </c>
      <c r="D5" s="112">
        <v>950</v>
      </c>
      <c r="E5" s="113"/>
      <c r="F5" s="106">
        <v>90</v>
      </c>
      <c r="G5" s="112">
        <v>3</v>
      </c>
      <c r="H5" s="112">
        <v>973</v>
      </c>
      <c r="I5" s="113"/>
      <c r="J5" s="106">
        <v>70</v>
      </c>
      <c r="K5" s="112">
        <v>3</v>
      </c>
      <c r="L5" s="112">
        <v>966</v>
      </c>
    </row>
    <row r="6" spans="1:12" ht="12.75" thickBot="1" x14ac:dyDescent="0.2">
      <c r="A6" s="111"/>
      <c r="B6" s="106">
        <v>48</v>
      </c>
      <c r="C6" s="112">
        <v>4</v>
      </c>
      <c r="D6" s="112">
        <v>933</v>
      </c>
      <c r="E6" s="113"/>
      <c r="F6" s="106">
        <v>90</v>
      </c>
      <c r="G6" s="112">
        <v>4</v>
      </c>
      <c r="H6" s="112">
        <v>964</v>
      </c>
      <c r="I6" s="113"/>
      <c r="J6" s="106">
        <v>70</v>
      </c>
      <c r="K6" s="112">
        <v>4</v>
      </c>
      <c r="L6" s="112">
        <v>954</v>
      </c>
    </row>
    <row r="7" spans="1:12" ht="12.75" thickBot="1" x14ac:dyDescent="0.2">
      <c r="A7" s="111"/>
      <c r="B7" s="106">
        <v>48</v>
      </c>
      <c r="C7" s="112">
        <v>5</v>
      </c>
      <c r="D7" s="112">
        <v>917</v>
      </c>
      <c r="E7" s="113"/>
      <c r="F7" s="106">
        <v>90</v>
      </c>
      <c r="G7" s="112">
        <v>5</v>
      </c>
      <c r="H7" s="112">
        <v>956</v>
      </c>
      <c r="I7" s="113"/>
      <c r="J7" s="106">
        <v>70</v>
      </c>
      <c r="K7" s="112">
        <v>5</v>
      </c>
      <c r="L7" s="112">
        <v>943</v>
      </c>
    </row>
    <row r="8" spans="1:12" ht="12.75" thickBot="1" x14ac:dyDescent="0.2">
      <c r="A8" s="111"/>
      <c r="B8" s="106">
        <v>48</v>
      </c>
      <c r="C8" s="112">
        <v>6</v>
      </c>
      <c r="D8" s="112">
        <v>900</v>
      </c>
      <c r="E8" s="113"/>
      <c r="F8" s="106">
        <v>90</v>
      </c>
      <c r="G8" s="112">
        <v>6</v>
      </c>
      <c r="H8" s="112">
        <v>947</v>
      </c>
      <c r="I8" s="113"/>
      <c r="J8" s="106">
        <v>70</v>
      </c>
      <c r="K8" s="112">
        <v>6</v>
      </c>
      <c r="L8" s="112">
        <v>931</v>
      </c>
    </row>
    <row r="9" spans="1:12" ht="12.75" thickBot="1" x14ac:dyDescent="0.2">
      <c r="A9" s="111"/>
      <c r="B9" s="106">
        <v>48</v>
      </c>
      <c r="C9" s="112">
        <v>7</v>
      </c>
      <c r="D9" s="112">
        <v>883</v>
      </c>
      <c r="E9" s="113"/>
      <c r="F9" s="106">
        <v>90</v>
      </c>
      <c r="G9" s="112">
        <v>7</v>
      </c>
      <c r="H9" s="112">
        <v>938</v>
      </c>
      <c r="I9" s="113"/>
      <c r="J9" s="106">
        <v>70</v>
      </c>
      <c r="K9" s="112">
        <v>7</v>
      </c>
      <c r="L9" s="112">
        <v>920</v>
      </c>
    </row>
    <row r="10" spans="1:12" ht="12.75" thickBot="1" x14ac:dyDescent="0.2">
      <c r="A10" s="111"/>
      <c r="B10" s="106">
        <v>48</v>
      </c>
      <c r="C10" s="112">
        <v>8</v>
      </c>
      <c r="D10" s="112">
        <v>867</v>
      </c>
      <c r="E10" s="113"/>
      <c r="F10" s="106">
        <v>90</v>
      </c>
      <c r="G10" s="112">
        <v>8</v>
      </c>
      <c r="H10" s="112">
        <v>929</v>
      </c>
      <c r="I10" s="113"/>
      <c r="J10" s="106">
        <v>70</v>
      </c>
      <c r="K10" s="112">
        <v>8</v>
      </c>
      <c r="L10" s="112">
        <v>909</v>
      </c>
    </row>
    <row r="11" spans="1:12" ht="12.75" thickBot="1" x14ac:dyDescent="0.2">
      <c r="A11" s="111"/>
      <c r="B11" s="106">
        <v>48</v>
      </c>
      <c r="C11" s="112">
        <v>9</v>
      </c>
      <c r="D11" s="112">
        <v>850</v>
      </c>
      <c r="E11" s="113"/>
      <c r="F11" s="106">
        <v>90</v>
      </c>
      <c r="G11" s="112">
        <v>9</v>
      </c>
      <c r="H11" s="112">
        <v>920</v>
      </c>
      <c r="I11" s="113"/>
      <c r="J11" s="106">
        <v>70</v>
      </c>
      <c r="K11" s="112">
        <v>9</v>
      </c>
      <c r="L11" s="112">
        <v>897</v>
      </c>
    </row>
    <row r="12" spans="1:12" ht="12.75" thickBot="1" x14ac:dyDescent="0.2">
      <c r="A12" s="111"/>
      <c r="B12" s="106">
        <v>48</v>
      </c>
      <c r="C12" s="112">
        <v>10</v>
      </c>
      <c r="D12" s="112">
        <v>833</v>
      </c>
      <c r="E12" s="113"/>
      <c r="F12" s="106">
        <v>90</v>
      </c>
      <c r="G12" s="112">
        <v>10</v>
      </c>
      <c r="H12" s="112">
        <v>911</v>
      </c>
      <c r="I12" s="113"/>
      <c r="J12" s="106">
        <v>70</v>
      </c>
      <c r="K12" s="112">
        <v>10</v>
      </c>
      <c r="L12" s="112">
        <v>886</v>
      </c>
    </row>
    <row r="13" spans="1:12" ht="12.75" thickBot="1" x14ac:dyDescent="0.2">
      <c r="A13" s="111"/>
      <c r="B13" s="106">
        <v>48</v>
      </c>
      <c r="C13" s="112">
        <v>11</v>
      </c>
      <c r="D13" s="112">
        <v>817</v>
      </c>
      <c r="E13" s="113"/>
      <c r="F13" s="106">
        <v>90</v>
      </c>
      <c r="G13" s="112">
        <v>11</v>
      </c>
      <c r="H13" s="112">
        <v>902</v>
      </c>
      <c r="I13" s="113"/>
      <c r="J13" s="106">
        <v>70</v>
      </c>
      <c r="K13" s="112">
        <v>11</v>
      </c>
      <c r="L13" s="112">
        <v>874</v>
      </c>
    </row>
    <row r="14" spans="1:12" ht="12.75" thickBot="1" x14ac:dyDescent="0.2">
      <c r="A14" s="111"/>
      <c r="B14" s="106">
        <v>48</v>
      </c>
      <c r="C14" s="112">
        <v>12</v>
      </c>
      <c r="D14" s="112">
        <v>800</v>
      </c>
      <c r="E14" s="113"/>
      <c r="F14" s="106">
        <v>90</v>
      </c>
      <c r="G14" s="112">
        <v>12</v>
      </c>
      <c r="H14" s="112">
        <v>893</v>
      </c>
      <c r="I14" s="113"/>
      <c r="J14" s="106">
        <v>70</v>
      </c>
      <c r="K14" s="112">
        <v>12</v>
      </c>
      <c r="L14" s="112">
        <v>863</v>
      </c>
    </row>
    <row r="15" spans="1:12" ht="12.75" thickBot="1" x14ac:dyDescent="0.2">
      <c r="A15" s="111"/>
      <c r="B15" s="106">
        <v>48</v>
      </c>
      <c r="C15" s="112">
        <v>13</v>
      </c>
      <c r="D15" s="112">
        <v>783</v>
      </c>
      <c r="E15" s="113"/>
      <c r="F15" s="106">
        <v>90</v>
      </c>
      <c r="G15" s="112">
        <v>13</v>
      </c>
      <c r="H15" s="112">
        <v>884</v>
      </c>
      <c r="I15" s="113"/>
      <c r="J15" s="106">
        <v>70</v>
      </c>
      <c r="K15" s="112">
        <v>13</v>
      </c>
      <c r="L15" s="112">
        <v>851</v>
      </c>
    </row>
    <row r="16" spans="1:12" ht="12.75" thickBot="1" x14ac:dyDescent="0.2">
      <c r="A16" s="111"/>
      <c r="B16" s="106">
        <v>48</v>
      </c>
      <c r="C16" s="112">
        <v>14</v>
      </c>
      <c r="D16" s="112">
        <v>767</v>
      </c>
      <c r="E16" s="113"/>
      <c r="F16" s="106">
        <v>90</v>
      </c>
      <c r="G16" s="112">
        <v>14</v>
      </c>
      <c r="H16" s="112">
        <v>876</v>
      </c>
      <c r="I16" s="113"/>
      <c r="J16" s="106">
        <v>70</v>
      </c>
      <c r="K16" s="112">
        <v>14</v>
      </c>
      <c r="L16" s="112">
        <v>840</v>
      </c>
    </row>
    <row r="17" spans="1:12" ht="12.75" thickBot="1" x14ac:dyDescent="0.2">
      <c r="A17" s="111"/>
      <c r="B17" s="106">
        <v>48</v>
      </c>
      <c r="C17" s="112">
        <v>15</v>
      </c>
      <c r="D17" s="112">
        <v>750</v>
      </c>
      <c r="E17" s="113"/>
      <c r="F17" s="106">
        <v>90</v>
      </c>
      <c r="G17" s="112">
        <v>15</v>
      </c>
      <c r="H17" s="112">
        <v>867</v>
      </c>
      <c r="I17" s="113"/>
      <c r="J17" s="106">
        <v>70</v>
      </c>
      <c r="K17" s="112">
        <v>15</v>
      </c>
      <c r="L17" s="112">
        <v>829</v>
      </c>
    </row>
    <row r="18" spans="1:12" ht="12.75" thickBot="1" x14ac:dyDescent="0.2">
      <c r="A18" s="111"/>
      <c r="B18" s="106">
        <v>48</v>
      </c>
      <c r="C18" s="112">
        <v>16</v>
      </c>
      <c r="D18" s="112">
        <v>733</v>
      </c>
      <c r="E18" s="113"/>
      <c r="F18" s="106">
        <v>90</v>
      </c>
      <c r="G18" s="112">
        <v>16</v>
      </c>
      <c r="H18" s="112">
        <v>858</v>
      </c>
      <c r="I18" s="113"/>
      <c r="J18" s="106">
        <v>70</v>
      </c>
      <c r="K18" s="112">
        <v>16</v>
      </c>
      <c r="L18" s="112">
        <v>817</v>
      </c>
    </row>
    <row r="19" spans="1:12" ht="12.75" thickBot="1" x14ac:dyDescent="0.2">
      <c r="A19" s="111"/>
      <c r="B19" s="106">
        <v>48</v>
      </c>
      <c r="C19" s="112">
        <v>17</v>
      </c>
      <c r="D19" s="112">
        <v>717</v>
      </c>
      <c r="E19" s="113"/>
      <c r="F19" s="106">
        <v>90</v>
      </c>
      <c r="G19" s="112">
        <v>17</v>
      </c>
      <c r="H19" s="112">
        <v>849</v>
      </c>
      <c r="I19" s="113"/>
      <c r="J19" s="106">
        <v>70</v>
      </c>
      <c r="K19" s="112">
        <v>17</v>
      </c>
      <c r="L19" s="112">
        <v>806</v>
      </c>
    </row>
    <row r="20" spans="1:12" ht="12.75" thickBot="1" x14ac:dyDescent="0.2">
      <c r="A20" s="111"/>
      <c r="B20" s="106">
        <v>48</v>
      </c>
      <c r="C20" s="112">
        <v>18</v>
      </c>
      <c r="D20" s="112">
        <v>700</v>
      </c>
      <c r="E20" s="113"/>
      <c r="F20" s="106">
        <v>90</v>
      </c>
      <c r="G20" s="112">
        <v>18</v>
      </c>
      <c r="H20" s="112">
        <v>840</v>
      </c>
      <c r="I20" s="113"/>
      <c r="J20" s="106">
        <v>70</v>
      </c>
      <c r="K20" s="112">
        <v>18</v>
      </c>
      <c r="L20" s="112">
        <v>794</v>
      </c>
    </row>
    <row r="21" spans="1:12" ht="12.75" thickBot="1" x14ac:dyDescent="0.2">
      <c r="A21" s="111"/>
      <c r="B21" s="106">
        <v>48</v>
      </c>
      <c r="C21" s="112">
        <v>19</v>
      </c>
      <c r="D21" s="112">
        <v>683</v>
      </c>
      <c r="E21" s="113"/>
      <c r="F21" s="106">
        <v>90</v>
      </c>
      <c r="G21" s="112">
        <v>19</v>
      </c>
      <c r="H21" s="112">
        <v>831</v>
      </c>
      <c r="I21" s="113"/>
      <c r="J21" s="106">
        <v>70</v>
      </c>
      <c r="K21" s="112">
        <v>19</v>
      </c>
      <c r="L21" s="112">
        <v>783</v>
      </c>
    </row>
    <row r="22" spans="1:12" ht="12.75" thickBot="1" x14ac:dyDescent="0.2">
      <c r="A22" s="111"/>
      <c r="B22" s="106">
        <v>48</v>
      </c>
      <c r="C22" s="112">
        <v>20</v>
      </c>
      <c r="D22" s="112">
        <v>667</v>
      </c>
      <c r="E22" s="113"/>
      <c r="F22" s="106">
        <v>90</v>
      </c>
      <c r="G22" s="112">
        <v>20</v>
      </c>
      <c r="H22" s="112">
        <v>822</v>
      </c>
      <c r="I22" s="113"/>
      <c r="J22" s="106">
        <v>70</v>
      </c>
      <c r="K22" s="112">
        <v>20</v>
      </c>
      <c r="L22" s="112">
        <v>771</v>
      </c>
    </row>
    <row r="23" spans="1:12" ht="12.75" thickBot="1" x14ac:dyDescent="0.2">
      <c r="A23" s="111"/>
      <c r="B23" s="106">
        <v>48</v>
      </c>
      <c r="C23" s="112">
        <v>21</v>
      </c>
      <c r="D23" s="112">
        <v>650</v>
      </c>
      <c r="E23" s="113"/>
      <c r="F23" s="106">
        <v>90</v>
      </c>
      <c r="G23" s="112">
        <v>21</v>
      </c>
      <c r="H23" s="112">
        <v>813</v>
      </c>
      <c r="I23" s="113"/>
      <c r="J23" s="106">
        <v>70</v>
      </c>
      <c r="K23" s="112">
        <v>21</v>
      </c>
      <c r="L23" s="112">
        <v>760</v>
      </c>
    </row>
    <row r="24" spans="1:12" ht="12.75" thickBot="1" x14ac:dyDescent="0.2">
      <c r="A24" s="111"/>
      <c r="B24" s="106">
        <v>48</v>
      </c>
      <c r="C24" s="112">
        <v>22</v>
      </c>
      <c r="D24" s="112">
        <v>633</v>
      </c>
      <c r="E24" s="113"/>
      <c r="F24" s="106">
        <v>90</v>
      </c>
      <c r="G24" s="112">
        <v>22</v>
      </c>
      <c r="H24" s="112">
        <v>804</v>
      </c>
      <c r="I24" s="113"/>
      <c r="J24" s="106">
        <v>70</v>
      </c>
      <c r="K24" s="112">
        <v>22</v>
      </c>
      <c r="L24" s="112">
        <v>749</v>
      </c>
    </row>
    <row r="25" spans="1:12" ht="12.75" thickBot="1" x14ac:dyDescent="0.2">
      <c r="A25" s="111"/>
      <c r="B25" s="106">
        <v>48</v>
      </c>
      <c r="C25" s="112">
        <v>23</v>
      </c>
      <c r="D25" s="112">
        <v>617</v>
      </c>
      <c r="E25" s="113"/>
      <c r="F25" s="106">
        <v>90</v>
      </c>
      <c r="G25" s="112">
        <v>23</v>
      </c>
      <c r="H25" s="112">
        <v>796</v>
      </c>
      <c r="I25" s="113"/>
      <c r="J25" s="106">
        <v>70</v>
      </c>
      <c r="K25" s="112">
        <v>23</v>
      </c>
      <c r="L25" s="112">
        <v>737</v>
      </c>
    </row>
    <row r="26" spans="1:12" ht="12.75" thickBot="1" x14ac:dyDescent="0.2">
      <c r="A26" s="111"/>
      <c r="B26" s="106">
        <v>48</v>
      </c>
      <c r="C26" s="112">
        <v>24</v>
      </c>
      <c r="D26" s="112">
        <v>600</v>
      </c>
      <c r="E26" s="113"/>
      <c r="F26" s="106">
        <v>90</v>
      </c>
      <c r="G26" s="112">
        <v>24</v>
      </c>
      <c r="H26" s="112">
        <v>787</v>
      </c>
      <c r="I26" s="113"/>
      <c r="J26" s="106">
        <v>70</v>
      </c>
      <c r="K26" s="112">
        <v>24</v>
      </c>
      <c r="L26" s="112">
        <v>726</v>
      </c>
    </row>
    <row r="27" spans="1:12" ht="12.75" thickBot="1" x14ac:dyDescent="0.2">
      <c r="A27" s="111"/>
      <c r="B27" s="106">
        <v>48</v>
      </c>
      <c r="C27" s="112">
        <v>25</v>
      </c>
      <c r="D27" s="112">
        <v>583</v>
      </c>
      <c r="E27" s="113"/>
      <c r="F27" s="106">
        <v>90</v>
      </c>
      <c r="G27" s="112">
        <v>25</v>
      </c>
      <c r="H27" s="112">
        <v>778</v>
      </c>
      <c r="I27" s="113"/>
      <c r="J27" s="106">
        <v>70</v>
      </c>
      <c r="K27" s="112">
        <v>25</v>
      </c>
      <c r="L27" s="112">
        <v>714</v>
      </c>
    </row>
    <row r="28" spans="1:12" ht="12.75" thickBot="1" x14ac:dyDescent="0.2">
      <c r="A28" s="111"/>
      <c r="B28" s="106">
        <v>48</v>
      </c>
      <c r="C28" s="112">
        <v>26</v>
      </c>
      <c r="D28" s="112">
        <v>567</v>
      </c>
      <c r="E28" s="113"/>
      <c r="F28" s="106">
        <v>90</v>
      </c>
      <c r="G28" s="112">
        <v>26</v>
      </c>
      <c r="H28" s="112">
        <v>769</v>
      </c>
      <c r="I28" s="113"/>
      <c r="J28" s="106">
        <v>70</v>
      </c>
      <c r="K28" s="112">
        <v>26</v>
      </c>
      <c r="L28" s="112">
        <v>703</v>
      </c>
    </row>
    <row r="29" spans="1:12" ht="12.75" thickBot="1" x14ac:dyDescent="0.2">
      <c r="A29" s="111"/>
      <c r="B29" s="106">
        <v>48</v>
      </c>
      <c r="C29" s="112">
        <v>27</v>
      </c>
      <c r="D29" s="112">
        <v>550</v>
      </c>
      <c r="E29" s="113"/>
      <c r="F29" s="106">
        <v>90</v>
      </c>
      <c r="G29" s="112">
        <v>27</v>
      </c>
      <c r="H29" s="112">
        <v>760</v>
      </c>
      <c r="I29" s="113"/>
      <c r="J29" s="106">
        <v>70</v>
      </c>
      <c r="K29" s="112">
        <v>27</v>
      </c>
      <c r="L29" s="112">
        <v>691</v>
      </c>
    </row>
    <row r="30" spans="1:12" ht="12.75" thickBot="1" x14ac:dyDescent="0.2">
      <c r="A30" s="111"/>
      <c r="B30" s="106">
        <v>48</v>
      </c>
      <c r="C30" s="112">
        <v>28</v>
      </c>
      <c r="D30" s="112">
        <v>533</v>
      </c>
      <c r="E30" s="113"/>
      <c r="F30" s="106">
        <v>90</v>
      </c>
      <c r="G30" s="112">
        <v>28</v>
      </c>
      <c r="H30" s="112">
        <v>751</v>
      </c>
      <c r="I30" s="113"/>
      <c r="J30" s="106">
        <v>70</v>
      </c>
      <c r="K30" s="112">
        <v>28</v>
      </c>
      <c r="L30" s="112">
        <v>680</v>
      </c>
    </row>
    <row r="31" spans="1:12" ht="12.75" thickBot="1" x14ac:dyDescent="0.2">
      <c r="A31" s="111"/>
      <c r="B31" s="106">
        <v>48</v>
      </c>
      <c r="C31" s="112">
        <v>29</v>
      </c>
      <c r="D31" s="112">
        <v>517</v>
      </c>
      <c r="E31" s="113"/>
      <c r="F31" s="106">
        <v>90</v>
      </c>
      <c r="G31" s="112">
        <v>29</v>
      </c>
      <c r="H31" s="112">
        <v>742</v>
      </c>
      <c r="I31" s="113"/>
      <c r="J31" s="106">
        <v>70</v>
      </c>
      <c r="K31" s="112">
        <v>29</v>
      </c>
      <c r="L31" s="112">
        <v>669</v>
      </c>
    </row>
    <row r="32" spans="1:12" ht="12.75" thickBot="1" x14ac:dyDescent="0.2">
      <c r="A32" s="111"/>
      <c r="B32" s="131">
        <v>48</v>
      </c>
      <c r="C32" s="130">
        <v>30</v>
      </c>
      <c r="D32" s="130">
        <v>500</v>
      </c>
      <c r="E32" s="113"/>
      <c r="F32" s="131">
        <v>90</v>
      </c>
      <c r="G32" s="130">
        <v>30</v>
      </c>
      <c r="H32" s="130">
        <v>733</v>
      </c>
      <c r="I32" s="113"/>
      <c r="J32" s="131">
        <v>70</v>
      </c>
      <c r="K32" s="130">
        <v>30</v>
      </c>
      <c r="L32" s="130">
        <v>657</v>
      </c>
    </row>
    <row r="33" spans="1:12" ht="12.75" thickBot="1" x14ac:dyDescent="0.2">
      <c r="A33" s="111"/>
      <c r="B33" s="106">
        <v>48</v>
      </c>
      <c r="C33" s="112">
        <v>31</v>
      </c>
      <c r="D33" s="112">
        <v>483</v>
      </c>
      <c r="E33" s="113"/>
      <c r="F33" s="106">
        <v>90</v>
      </c>
      <c r="G33" s="112">
        <v>31</v>
      </c>
      <c r="H33" s="112">
        <v>724</v>
      </c>
      <c r="I33" s="113"/>
      <c r="J33" s="106">
        <v>70</v>
      </c>
      <c r="K33" s="112">
        <v>31</v>
      </c>
      <c r="L33" s="112">
        <v>646</v>
      </c>
    </row>
    <row r="34" spans="1:12" ht="12.75" thickBot="1" x14ac:dyDescent="0.2">
      <c r="A34" s="111"/>
      <c r="B34" s="106">
        <v>48</v>
      </c>
      <c r="C34" s="112">
        <v>32</v>
      </c>
      <c r="D34" s="112">
        <v>467</v>
      </c>
      <c r="E34" s="113"/>
      <c r="F34" s="106">
        <v>90</v>
      </c>
      <c r="G34" s="112">
        <v>32</v>
      </c>
      <c r="H34" s="112">
        <v>716</v>
      </c>
      <c r="I34" s="113"/>
      <c r="J34" s="106">
        <v>70</v>
      </c>
      <c r="K34" s="112">
        <v>32</v>
      </c>
      <c r="L34" s="112">
        <v>634</v>
      </c>
    </row>
    <row r="35" spans="1:12" ht="12.75" thickBot="1" x14ac:dyDescent="0.2">
      <c r="A35" s="111"/>
      <c r="B35" s="106">
        <v>48</v>
      </c>
      <c r="C35" s="112">
        <v>33</v>
      </c>
      <c r="D35" s="112">
        <v>450</v>
      </c>
      <c r="E35" s="113"/>
      <c r="F35" s="106">
        <v>90</v>
      </c>
      <c r="G35" s="112">
        <v>33</v>
      </c>
      <c r="H35" s="112">
        <v>707</v>
      </c>
      <c r="I35" s="113"/>
      <c r="J35" s="106">
        <v>70</v>
      </c>
      <c r="K35" s="112">
        <v>33</v>
      </c>
      <c r="L35" s="112">
        <v>623</v>
      </c>
    </row>
    <row r="36" spans="1:12" ht="12.75" thickBot="1" x14ac:dyDescent="0.2">
      <c r="A36" s="111"/>
      <c r="B36" s="106">
        <v>48</v>
      </c>
      <c r="C36" s="112">
        <v>34</v>
      </c>
      <c r="D36" s="112">
        <v>433</v>
      </c>
      <c r="E36" s="113"/>
      <c r="F36" s="106">
        <v>90</v>
      </c>
      <c r="G36" s="112">
        <v>34</v>
      </c>
      <c r="H36" s="112">
        <v>698</v>
      </c>
      <c r="I36" s="113"/>
      <c r="J36" s="106">
        <v>70</v>
      </c>
      <c r="K36" s="112">
        <v>34</v>
      </c>
      <c r="L36" s="112">
        <v>611</v>
      </c>
    </row>
    <row r="37" spans="1:12" ht="12.75" thickBot="1" x14ac:dyDescent="0.2">
      <c r="A37" s="111"/>
      <c r="B37" s="106">
        <v>48</v>
      </c>
      <c r="C37" s="112">
        <v>35</v>
      </c>
      <c r="D37" s="112">
        <v>417</v>
      </c>
      <c r="E37" s="113"/>
      <c r="F37" s="106">
        <v>90</v>
      </c>
      <c r="G37" s="112">
        <v>35</v>
      </c>
      <c r="H37" s="112">
        <v>689</v>
      </c>
      <c r="I37" s="113"/>
      <c r="J37" s="106">
        <v>70</v>
      </c>
      <c r="K37" s="112">
        <v>35</v>
      </c>
      <c r="L37" s="112">
        <v>600</v>
      </c>
    </row>
    <row r="38" spans="1:12" ht="12.75" thickBot="1" x14ac:dyDescent="0.2">
      <c r="A38" s="111"/>
      <c r="B38" s="106">
        <v>48</v>
      </c>
      <c r="C38" s="112">
        <v>36</v>
      </c>
      <c r="D38" s="112">
        <v>400</v>
      </c>
      <c r="E38" s="113"/>
      <c r="F38" s="106">
        <v>90</v>
      </c>
      <c r="G38" s="112">
        <v>36</v>
      </c>
      <c r="H38" s="112">
        <v>680</v>
      </c>
      <c r="I38" s="113"/>
      <c r="J38" s="106">
        <v>70</v>
      </c>
      <c r="K38" s="112">
        <v>36</v>
      </c>
      <c r="L38" s="112">
        <v>589</v>
      </c>
    </row>
    <row r="39" spans="1:12" ht="12.75" thickBot="1" x14ac:dyDescent="0.2">
      <c r="A39" s="111"/>
      <c r="B39" s="106">
        <v>48</v>
      </c>
      <c r="C39" s="112">
        <v>37</v>
      </c>
      <c r="D39" s="112">
        <v>383</v>
      </c>
      <c r="E39" s="113"/>
      <c r="F39" s="106">
        <v>90</v>
      </c>
      <c r="G39" s="112">
        <v>37</v>
      </c>
      <c r="H39" s="112">
        <v>671</v>
      </c>
      <c r="I39" s="113"/>
      <c r="J39" s="106">
        <v>70</v>
      </c>
      <c r="K39" s="112">
        <v>37</v>
      </c>
      <c r="L39" s="112">
        <v>577</v>
      </c>
    </row>
    <row r="40" spans="1:12" ht="12.75" thickBot="1" x14ac:dyDescent="0.2">
      <c r="A40" s="111"/>
      <c r="B40" s="106">
        <v>48</v>
      </c>
      <c r="C40" s="112">
        <v>38</v>
      </c>
      <c r="D40" s="112">
        <v>367</v>
      </c>
      <c r="E40" s="113"/>
      <c r="F40" s="106">
        <v>90</v>
      </c>
      <c r="G40" s="112">
        <v>38</v>
      </c>
      <c r="H40" s="112">
        <v>662</v>
      </c>
      <c r="I40" s="113"/>
      <c r="J40" s="106">
        <v>70</v>
      </c>
      <c r="K40" s="112">
        <v>38</v>
      </c>
      <c r="L40" s="112">
        <v>566</v>
      </c>
    </row>
    <row r="41" spans="1:12" ht="12.75" thickBot="1" x14ac:dyDescent="0.2">
      <c r="A41" s="111"/>
      <c r="B41" s="106">
        <v>48</v>
      </c>
      <c r="C41" s="112">
        <v>39</v>
      </c>
      <c r="D41" s="112">
        <v>350</v>
      </c>
      <c r="E41" s="113"/>
      <c r="F41" s="106">
        <v>90</v>
      </c>
      <c r="G41" s="112">
        <v>39</v>
      </c>
      <c r="H41" s="112">
        <v>653</v>
      </c>
      <c r="I41" s="113"/>
      <c r="J41" s="106">
        <v>70</v>
      </c>
      <c r="K41" s="112">
        <v>39</v>
      </c>
      <c r="L41" s="112">
        <v>554</v>
      </c>
    </row>
    <row r="42" spans="1:12" ht="12.75" thickBot="1" x14ac:dyDescent="0.2">
      <c r="A42" s="111"/>
      <c r="B42" s="106">
        <v>48</v>
      </c>
      <c r="C42" s="112">
        <v>40</v>
      </c>
      <c r="D42" s="112">
        <v>333</v>
      </c>
      <c r="E42" s="113"/>
      <c r="F42" s="106">
        <v>90</v>
      </c>
      <c r="G42" s="112">
        <v>40</v>
      </c>
      <c r="H42" s="112">
        <v>644</v>
      </c>
      <c r="I42" s="113"/>
      <c r="J42" s="106">
        <v>70</v>
      </c>
      <c r="K42" s="112">
        <v>40</v>
      </c>
      <c r="L42" s="112">
        <v>543</v>
      </c>
    </row>
    <row r="43" spans="1:12" ht="12.75" thickBot="1" x14ac:dyDescent="0.2">
      <c r="A43" s="111"/>
      <c r="B43" s="106">
        <v>48</v>
      </c>
      <c r="C43" s="112">
        <v>41</v>
      </c>
      <c r="D43" s="112">
        <v>317</v>
      </c>
      <c r="E43" s="113"/>
      <c r="F43" s="106">
        <v>90</v>
      </c>
      <c r="G43" s="112">
        <v>41</v>
      </c>
      <c r="H43" s="112">
        <v>636</v>
      </c>
      <c r="I43" s="113"/>
      <c r="J43" s="106">
        <v>70</v>
      </c>
      <c r="K43" s="112">
        <v>41</v>
      </c>
      <c r="L43" s="112">
        <v>531</v>
      </c>
    </row>
    <row r="44" spans="1:12" ht="12.75" thickBot="1" x14ac:dyDescent="0.2">
      <c r="A44" s="111"/>
      <c r="B44" s="106">
        <v>48</v>
      </c>
      <c r="C44" s="112">
        <v>42</v>
      </c>
      <c r="D44" s="112">
        <v>300</v>
      </c>
      <c r="E44" s="113"/>
      <c r="F44" s="106">
        <v>90</v>
      </c>
      <c r="G44" s="112">
        <v>42</v>
      </c>
      <c r="H44" s="112">
        <v>627</v>
      </c>
      <c r="I44" s="113"/>
      <c r="J44" s="106">
        <v>70</v>
      </c>
      <c r="K44" s="112">
        <v>42</v>
      </c>
      <c r="L44" s="112">
        <v>520</v>
      </c>
    </row>
    <row r="45" spans="1:12" ht="12.75" thickBot="1" x14ac:dyDescent="0.2">
      <c r="A45" s="111"/>
      <c r="B45" s="106">
        <v>48</v>
      </c>
      <c r="C45" s="112">
        <v>43</v>
      </c>
      <c r="D45" s="112">
        <v>283</v>
      </c>
      <c r="E45" s="113"/>
      <c r="F45" s="106">
        <v>90</v>
      </c>
      <c r="G45" s="112">
        <v>43</v>
      </c>
      <c r="H45" s="112">
        <v>618</v>
      </c>
      <c r="I45" s="113"/>
      <c r="J45" s="106">
        <v>70</v>
      </c>
      <c r="K45" s="112">
        <v>43</v>
      </c>
      <c r="L45" s="112">
        <v>509</v>
      </c>
    </row>
    <row r="46" spans="1:12" ht="12.75" thickBot="1" x14ac:dyDescent="0.2">
      <c r="A46" s="111"/>
      <c r="B46" s="106">
        <v>48</v>
      </c>
      <c r="C46" s="112">
        <v>44</v>
      </c>
      <c r="D46" s="112">
        <v>267</v>
      </c>
      <c r="E46" s="113"/>
      <c r="F46" s="106">
        <v>90</v>
      </c>
      <c r="G46" s="112">
        <v>44</v>
      </c>
      <c r="H46" s="112">
        <v>609</v>
      </c>
      <c r="I46" s="113"/>
      <c r="J46" s="106">
        <v>70</v>
      </c>
      <c r="K46" s="112">
        <v>44</v>
      </c>
      <c r="L46" s="112">
        <v>497</v>
      </c>
    </row>
    <row r="47" spans="1:12" ht="12.75" thickBot="1" x14ac:dyDescent="0.2">
      <c r="A47" s="111"/>
      <c r="B47" s="106">
        <v>48</v>
      </c>
      <c r="C47" s="112">
        <v>45</v>
      </c>
      <c r="D47" s="112">
        <v>250</v>
      </c>
      <c r="E47" s="113"/>
      <c r="F47" s="106">
        <v>90</v>
      </c>
      <c r="G47" s="112">
        <v>45</v>
      </c>
      <c r="H47" s="112">
        <v>600</v>
      </c>
      <c r="I47" s="113"/>
      <c r="J47" s="106">
        <v>70</v>
      </c>
      <c r="K47" s="112">
        <v>45</v>
      </c>
      <c r="L47" s="112">
        <v>486</v>
      </c>
    </row>
    <row r="48" spans="1:12" ht="12.75" thickBot="1" x14ac:dyDescent="0.2">
      <c r="A48" s="111"/>
      <c r="B48" s="106">
        <v>48</v>
      </c>
      <c r="C48" s="112">
        <v>46</v>
      </c>
      <c r="D48" s="112">
        <v>233</v>
      </c>
      <c r="E48" s="113"/>
      <c r="F48" s="106">
        <v>90</v>
      </c>
      <c r="G48" s="112">
        <v>46</v>
      </c>
      <c r="H48" s="112">
        <v>591</v>
      </c>
      <c r="I48" s="113"/>
      <c r="J48" s="106">
        <v>70</v>
      </c>
      <c r="K48" s="112">
        <v>46</v>
      </c>
      <c r="L48" s="112">
        <v>474</v>
      </c>
    </row>
    <row r="49" spans="1:12" ht="12.75" thickBot="1" x14ac:dyDescent="0.2">
      <c r="A49" s="111"/>
      <c r="B49" s="106">
        <v>48</v>
      </c>
      <c r="C49" s="112">
        <v>47</v>
      </c>
      <c r="D49" s="112">
        <v>217</v>
      </c>
      <c r="E49" s="114"/>
      <c r="F49" s="106">
        <v>90</v>
      </c>
      <c r="G49" s="112">
        <v>47</v>
      </c>
      <c r="H49" s="112">
        <v>582</v>
      </c>
      <c r="I49" s="114"/>
      <c r="J49" s="106">
        <v>70</v>
      </c>
      <c r="K49" s="112">
        <v>47</v>
      </c>
      <c r="L49" s="112">
        <v>463</v>
      </c>
    </row>
    <row r="50" spans="1:12" ht="12.75" thickBot="1" x14ac:dyDescent="0.2">
      <c r="A50" s="111"/>
      <c r="B50" s="106">
        <v>48</v>
      </c>
      <c r="C50" s="115">
        <v>48</v>
      </c>
      <c r="D50" s="115">
        <v>200</v>
      </c>
      <c r="E50" s="113"/>
      <c r="F50" s="106">
        <v>90</v>
      </c>
      <c r="G50" s="112">
        <v>48</v>
      </c>
      <c r="H50" s="112">
        <v>573</v>
      </c>
      <c r="I50" s="113"/>
      <c r="J50" s="106">
        <v>70</v>
      </c>
      <c r="K50" s="112">
        <v>48</v>
      </c>
      <c r="L50" s="112">
        <v>451</v>
      </c>
    </row>
    <row r="51" spans="1:12" ht="12.75" thickBot="1" x14ac:dyDescent="0.2">
      <c r="A51" s="116"/>
      <c r="B51" s="117"/>
      <c r="C51" s="117"/>
      <c r="D51" s="117"/>
      <c r="E51" s="113"/>
      <c r="F51" s="106">
        <v>90</v>
      </c>
      <c r="G51" s="112">
        <v>49</v>
      </c>
      <c r="H51" s="112">
        <v>564</v>
      </c>
      <c r="I51" s="113"/>
      <c r="J51" s="106">
        <v>70</v>
      </c>
      <c r="K51" s="112">
        <v>49</v>
      </c>
      <c r="L51" s="112">
        <v>440</v>
      </c>
    </row>
    <row r="52" spans="1:12" ht="12.75" thickBot="1" x14ac:dyDescent="0.2">
      <c r="A52" s="116"/>
      <c r="B52" s="118"/>
      <c r="C52" s="118"/>
      <c r="D52" s="118"/>
      <c r="E52" s="113"/>
      <c r="F52" s="106">
        <v>90</v>
      </c>
      <c r="G52" s="112">
        <v>50</v>
      </c>
      <c r="H52" s="112">
        <v>556</v>
      </c>
      <c r="I52" s="113"/>
      <c r="J52" s="106">
        <v>70</v>
      </c>
      <c r="K52" s="112">
        <v>50</v>
      </c>
      <c r="L52" s="112">
        <v>429</v>
      </c>
    </row>
    <row r="53" spans="1:12" ht="12.75" thickBot="1" x14ac:dyDescent="0.2">
      <c r="A53" s="116"/>
      <c r="B53" s="118"/>
      <c r="C53" s="118"/>
      <c r="D53" s="118"/>
      <c r="E53" s="113"/>
      <c r="F53" s="106">
        <v>90</v>
      </c>
      <c r="G53" s="112">
        <v>51</v>
      </c>
      <c r="H53" s="112">
        <v>547</v>
      </c>
      <c r="I53" s="113"/>
      <c r="J53" s="106">
        <v>70</v>
      </c>
      <c r="K53" s="112">
        <v>51</v>
      </c>
      <c r="L53" s="112">
        <v>417</v>
      </c>
    </row>
    <row r="54" spans="1:12" ht="12.75" thickBot="1" x14ac:dyDescent="0.2">
      <c r="A54" s="116"/>
      <c r="B54" s="118"/>
      <c r="C54" s="118"/>
      <c r="D54" s="118"/>
      <c r="E54" s="114"/>
      <c r="F54" s="106">
        <v>90</v>
      </c>
      <c r="G54" s="112">
        <v>52</v>
      </c>
      <c r="H54" s="112">
        <v>538</v>
      </c>
      <c r="I54" s="114"/>
      <c r="J54" s="106">
        <v>70</v>
      </c>
      <c r="K54" s="112">
        <v>52</v>
      </c>
      <c r="L54" s="112">
        <v>406</v>
      </c>
    </row>
    <row r="55" spans="1:12" ht="12.75" thickBot="1" x14ac:dyDescent="0.2">
      <c r="A55" s="116"/>
      <c r="B55" s="118"/>
      <c r="C55" s="118"/>
      <c r="D55" s="118"/>
      <c r="E55" s="113"/>
      <c r="F55" s="106">
        <v>90</v>
      </c>
      <c r="G55" s="112">
        <v>53</v>
      </c>
      <c r="H55" s="112">
        <v>529</v>
      </c>
      <c r="I55" s="113"/>
      <c r="J55" s="106">
        <v>70</v>
      </c>
      <c r="K55" s="112">
        <v>53</v>
      </c>
      <c r="L55" s="112">
        <v>394</v>
      </c>
    </row>
    <row r="56" spans="1:12" ht="12.75" thickBot="1" x14ac:dyDescent="0.2">
      <c r="A56" s="116"/>
      <c r="B56" s="118"/>
      <c r="C56" s="118"/>
      <c r="D56" s="118"/>
      <c r="E56" s="113"/>
      <c r="F56" s="106">
        <v>90</v>
      </c>
      <c r="G56" s="112">
        <v>54</v>
      </c>
      <c r="H56" s="112">
        <v>520</v>
      </c>
      <c r="I56" s="113"/>
      <c r="J56" s="106">
        <v>70</v>
      </c>
      <c r="K56" s="112">
        <v>54</v>
      </c>
      <c r="L56" s="112">
        <v>383</v>
      </c>
    </row>
    <row r="57" spans="1:12" ht="12.75" thickBot="1" x14ac:dyDescent="0.2">
      <c r="A57" s="116"/>
      <c r="B57" s="118"/>
      <c r="C57" s="118"/>
      <c r="D57" s="118"/>
      <c r="E57" s="113"/>
      <c r="F57" s="106">
        <v>90</v>
      </c>
      <c r="G57" s="112">
        <v>55</v>
      </c>
      <c r="H57" s="112">
        <v>511</v>
      </c>
      <c r="I57" s="113"/>
      <c r="J57" s="106">
        <v>70</v>
      </c>
      <c r="K57" s="112">
        <v>55</v>
      </c>
      <c r="L57" s="112">
        <v>371</v>
      </c>
    </row>
    <row r="58" spans="1:12" ht="12.75" thickBot="1" x14ac:dyDescent="0.2">
      <c r="A58" s="116"/>
      <c r="B58" s="118"/>
      <c r="C58" s="118"/>
      <c r="D58" s="118"/>
      <c r="E58" s="110"/>
      <c r="F58" s="106">
        <v>90</v>
      </c>
      <c r="G58" s="112">
        <v>56</v>
      </c>
      <c r="H58" s="112">
        <v>502</v>
      </c>
      <c r="I58" s="110"/>
      <c r="J58" s="106">
        <v>70</v>
      </c>
      <c r="K58" s="112">
        <v>56</v>
      </c>
      <c r="L58" s="112">
        <v>360</v>
      </c>
    </row>
    <row r="59" spans="1:12" ht="12.75" thickBot="1" x14ac:dyDescent="0.2">
      <c r="A59" s="116"/>
      <c r="B59" s="118"/>
      <c r="C59" s="118"/>
      <c r="D59" s="118"/>
      <c r="E59" s="113"/>
      <c r="F59" s="106">
        <v>90</v>
      </c>
      <c r="G59" s="112">
        <v>57</v>
      </c>
      <c r="H59" s="112">
        <v>493</v>
      </c>
      <c r="I59" s="113"/>
      <c r="J59" s="106">
        <v>70</v>
      </c>
      <c r="K59" s="112">
        <v>57</v>
      </c>
      <c r="L59" s="112">
        <v>349</v>
      </c>
    </row>
    <row r="60" spans="1:12" ht="12.75" thickBot="1" x14ac:dyDescent="0.2">
      <c r="A60" s="116"/>
      <c r="B60" s="118"/>
      <c r="C60" s="118"/>
      <c r="D60" s="118"/>
      <c r="E60" s="113"/>
      <c r="F60" s="106">
        <v>90</v>
      </c>
      <c r="G60" s="112">
        <v>58</v>
      </c>
      <c r="H60" s="112">
        <v>484</v>
      </c>
      <c r="I60" s="113"/>
      <c r="J60" s="106">
        <v>70</v>
      </c>
      <c r="K60" s="112">
        <v>58</v>
      </c>
      <c r="L60" s="112">
        <v>337</v>
      </c>
    </row>
    <row r="61" spans="1:12" ht="12.75" thickBot="1" x14ac:dyDescent="0.2">
      <c r="A61" s="116"/>
      <c r="B61" s="118"/>
      <c r="C61" s="118"/>
      <c r="D61" s="118"/>
      <c r="E61" s="113"/>
      <c r="F61" s="106">
        <v>90</v>
      </c>
      <c r="G61" s="112">
        <v>59</v>
      </c>
      <c r="H61" s="112">
        <v>476</v>
      </c>
      <c r="I61" s="113"/>
      <c r="J61" s="106">
        <v>70</v>
      </c>
      <c r="K61" s="112">
        <v>59</v>
      </c>
      <c r="L61" s="112">
        <v>326</v>
      </c>
    </row>
    <row r="62" spans="1:12" ht="12.75" thickBot="1" x14ac:dyDescent="0.2">
      <c r="A62" s="116"/>
      <c r="B62" s="118"/>
      <c r="C62" s="118"/>
      <c r="D62" s="118"/>
      <c r="E62" s="113"/>
      <c r="F62" s="106">
        <v>90</v>
      </c>
      <c r="G62" s="109">
        <v>60</v>
      </c>
      <c r="H62" s="109">
        <v>467</v>
      </c>
      <c r="I62" s="113"/>
      <c r="J62" s="106">
        <v>70</v>
      </c>
      <c r="K62" s="112">
        <v>60</v>
      </c>
      <c r="L62" s="109">
        <v>314</v>
      </c>
    </row>
    <row r="63" spans="1:12" ht="12.75" thickBot="1" x14ac:dyDescent="0.2">
      <c r="A63" s="116"/>
      <c r="B63" s="118"/>
      <c r="C63" s="119"/>
      <c r="D63" s="118"/>
      <c r="E63" s="120"/>
      <c r="F63" s="106">
        <v>90</v>
      </c>
      <c r="G63" s="112">
        <v>61</v>
      </c>
      <c r="H63" s="112">
        <v>458</v>
      </c>
      <c r="I63" s="120"/>
      <c r="J63" s="106">
        <v>70</v>
      </c>
      <c r="K63" s="112">
        <v>61</v>
      </c>
      <c r="L63" s="109">
        <v>303</v>
      </c>
    </row>
    <row r="64" spans="1:12" ht="12.75" thickBot="1" x14ac:dyDescent="0.2">
      <c r="A64" s="116"/>
      <c r="B64" s="120"/>
      <c r="C64" s="120"/>
      <c r="D64" s="120"/>
      <c r="E64" s="120"/>
      <c r="F64" s="106">
        <v>90</v>
      </c>
      <c r="G64" s="112">
        <v>62</v>
      </c>
      <c r="H64" s="109">
        <v>449</v>
      </c>
      <c r="I64" s="120"/>
      <c r="J64" s="106">
        <v>70</v>
      </c>
      <c r="K64" s="112">
        <v>62</v>
      </c>
      <c r="L64" s="109">
        <v>291</v>
      </c>
    </row>
    <row r="65" spans="1:12" ht="12.75" thickBot="1" x14ac:dyDescent="0.2">
      <c r="A65" s="116"/>
      <c r="B65" s="120"/>
      <c r="C65" s="120"/>
      <c r="D65" s="120"/>
      <c r="E65" s="120"/>
      <c r="F65" s="106">
        <v>90</v>
      </c>
      <c r="G65" s="109">
        <v>63</v>
      </c>
      <c r="H65" s="112">
        <v>440</v>
      </c>
      <c r="I65" s="120"/>
      <c r="J65" s="106">
        <v>70</v>
      </c>
      <c r="K65" s="112">
        <v>63</v>
      </c>
      <c r="L65" s="109">
        <v>280</v>
      </c>
    </row>
    <row r="66" spans="1:12" ht="12.75" thickBot="1" x14ac:dyDescent="0.2">
      <c r="A66" s="116"/>
      <c r="B66" s="120"/>
      <c r="C66" s="120"/>
      <c r="D66" s="120"/>
      <c r="E66" s="120"/>
      <c r="F66" s="106">
        <v>90</v>
      </c>
      <c r="G66" s="112">
        <v>64</v>
      </c>
      <c r="H66" s="109">
        <v>431</v>
      </c>
      <c r="I66" s="120"/>
      <c r="J66" s="106">
        <v>70</v>
      </c>
      <c r="K66" s="112">
        <v>64</v>
      </c>
      <c r="L66" s="109">
        <v>269</v>
      </c>
    </row>
    <row r="67" spans="1:12" ht="12.75" thickBot="1" x14ac:dyDescent="0.2">
      <c r="A67" s="116"/>
      <c r="B67" s="120"/>
      <c r="C67" s="120"/>
      <c r="D67" s="120"/>
      <c r="E67" s="120"/>
      <c r="F67" s="106">
        <v>90</v>
      </c>
      <c r="G67" s="112">
        <v>65</v>
      </c>
      <c r="H67" s="112">
        <v>422</v>
      </c>
      <c r="I67" s="120"/>
      <c r="J67" s="106">
        <v>70</v>
      </c>
      <c r="K67" s="112">
        <v>65</v>
      </c>
      <c r="L67" s="109">
        <v>257</v>
      </c>
    </row>
    <row r="68" spans="1:12" ht="12.75" thickBot="1" x14ac:dyDescent="0.2">
      <c r="A68" s="116"/>
      <c r="B68" s="120"/>
      <c r="C68" s="120"/>
      <c r="D68" s="120"/>
      <c r="E68" s="120"/>
      <c r="F68" s="106">
        <v>90</v>
      </c>
      <c r="G68" s="109">
        <v>66</v>
      </c>
      <c r="H68" s="109">
        <v>413</v>
      </c>
      <c r="I68" s="120"/>
      <c r="J68" s="106">
        <v>70</v>
      </c>
      <c r="K68" s="112">
        <v>66</v>
      </c>
      <c r="L68" s="109">
        <v>246</v>
      </c>
    </row>
    <row r="69" spans="1:12" ht="12.75" thickBot="1" x14ac:dyDescent="0.2">
      <c r="A69" s="116"/>
      <c r="B69" s="120"/>
      <c r="C69" s="120"/>
      <c r="D69" s="120"/>
      <c r="E69" s="120"/>
      <c r="F69" s="106">
        <v>90</v>
      </c>
      <c r="G69" s="112">
        <v>67</v>
      </c>
      <c r="H69" s="112">
        <v>404</v>
      </c>
      <c r="I69" s="120"/>
      <c r="J69" s="106">
        <v>70</v>
      </c>
      <c r="K69" s="112">
        <v>67</v>
      </c>
      <c r="L69" s="109">
        <v>234</v>
      </c>
    </row>
    <row r="70" spans="1:12" ht="12.75" thickBot="1" x14ac:dyDescent="0.2">
      <c r="A70" s="116"/>
      <c r="B70" s="120"/>
      <c r="C70" s="120"/>
      <c r="D70" s="120"/>
      <c r="E70" s="120"/>
      <c r="F70" s="106">
        <v>90</v>
      </c>
      <c r="G70" s="112">
        <v>68</v>
      </c>
      <c r="H70" s="109">
        <v>396</v>
      </c>
      <c r="I70" s="120"/>
      <c r="J70" s="106">
        <v>70</v>
      </c>
      <c r="K70" s="112">
        <v>68</v>
      </c>
      <c r="L70" s="109">
        <v>223</v>
      </c>
    </row>
    <row r="71" spans="1:12" ht="12.75" thickBot="1" x14ac:dyDescent="0.2">
      <c r="A71" s="116"/>
      <c r="B71" s="120"/>
      <c r="C71" s="120"/>
      <c r="D71" s="120"/>
      <c r="E71" s="120"/>
      <c r="F71" s="106">
        <v>90</v>
      </c>
      <c r="G71" s="109">
        <v>69</v>
      </c>
      <c r="H71" s="112">
        <v>387</v>
      </c>
      <c r="I71" s="120"/>
      <c r="J71" s="106">
        <v>70</v>
      </c>
      <c r="K71" s="112">
        <v>69</v>
      </c>
      <c r="L71" s="109">
        <v>211</v>
      </c>
    </row>
    <row r="72" spans="1:12" ht="12.75" thickBot="1" x14ac:dyDescent="0.2">
      <c r="A72" s="116"/>
      <c r="B72" s="120"/>
      <c r="C72" s="120"/>
      <c r="D72" s="120"/>
      <c r="E72" s="120"/>
      <c r="F72" s="106">
        <v>90</v>
      </c>
      <c r="G72" s="112">
        <v>70</v>
      </c>
      <c r="H72" s="109">
        <v>378</v>
      </c>
      <c r="I72" s="120"/>
      <c r="J72" s="108">
        <v>70</v>
      </c>
      <c r="K72" s="112">
        <v>70</v>
      </c>
      <c r="L72" s="109">
        <v>200</v>
      </c>
    </row>
  </sheetData>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1" tint="0.14999847407452621"/>
  </sheetPr>
  <dimension ref="A1:L92"/>
  <sheetViews>
    <sheetView workbookViewId="0"/>
  </sheetViews>
  <sheetFormatPr defaultColWidth="9" defaultRowHeight="12" x14ac:dyDescent="0.15"/>
  <cols>
    <col min="1" max="16384" width="9" style="104"/>
  </cols>
  <sheetData>
    <row r="1" spans="1:12" ht="12.75" thickBot="1" x14ac:dyDescent="0.2">
      <c r="A1" s="101"/>
      <c r="B1" s="102" t="s">
        <v>148</v>
      </c>
      <c r="C1" s="102" t="s">
        <v>149</v>
      </c>
      <c r="D1" s="121" t="s">
        <v>154</v>
      </c>
      <c r="E1" s="103"/>
      <c r="F1" s="102" t="s">
        <v>148</v>
      </c>
      <c r="G1" s="102" t="s">
        <v>149</v>
      </c>
      <c r="H1" s="102" t="s">
        <v>154</v>
      </c>
      <c r="I1" s="103"/>
      <c r="J1" s="102" t="s">
        <v>148</v>
      </c>
      <c r="K1" s="102" t="s">
        <v>149</v>
      </c>
      <c r="L1" s="102" t="s">
        <v>154</v>
      </c>
    </row>
    <row r="2" spans="1:12" ht="12.75" thickBot="1" x14ac:dyDescent="0.2">
      <c r="A2" s="111"/>
      <c r="B2" s="112">
        <v>48</v>
      </c>
      <c r="C2" s="112">
        <v>0</v>
      </c>
      <c r="D2" s="122">
        <v>1000</v>
      </c>
      <c r="E2" s="113"/>
      <c r="F2" s="112">
        <v>90</v>
      </c>
      <c r="G2" s="112">
        <v>0</v>
      </c>
      <c r="H2" s="106">
        <v>1000</v>
      </c>
      <c r="I2" s="113"/>
      <c r="J2" s="112">
        <v>70</v>
      </c>
      <c r="K2" s="112">
        <v>0</v>
      </c>
      <c r="L2" s="106">
        <v>1000</v>
      </c>
    </row>
    <row r="3" spans="1:12" ht="12.75" thickBot="1" x14ac:dyDescent="0.2">
      <c r="A3" s="107" t="s">
        <v>151</v>
      </c>
      <c r="B3" s="112">
        <v>48</v>
      </c>
      <c r="C3" s="112">
        <v>1</v>
      </c>
      <c r="D3" s="122">
        <v>998</v>
      </c>
      <c r="E3" s="110" t="s">
        <v>152</v>
      </c>
      <c r="F3" s="112">
        <v>90</v>
      </c>
      <c r="G3" s="112">
        <v>1</v>
      </c>
      <c r="H3" s="109">
        <v>999</v>
      </c>
      <c r="I3" s="110" t="s">
        <v>152</v>
      </c>
      <c r="J3" s="112">
        <v>70</v>
      </c>
      <c r="K3" s="112">
        <v>1</v>
      </c>
      <c r="L3" s="109">
        <v>998</v>
      </c>
    </row>
    <row r="4" spans="1:12" ht="12.75" thickBot="1" x14ac:dyDescent="0.2">
      <c r="A4" s="111"/>
      <c r="B4" s="112">
        <v>48</v>
      </c>
      <c r="C4" s="112">
        <v>2</v>
      </c>
      <c r="D4" s="122">
        <v>996</v>
      </c>
      <c r="E4" s="113"/>
      <c r="F4" s="112">
        <v>90</v>
      </c>
      <c r="G4" s="112">
        <v>2</v>
      </c>
      <c r="H4" s="112">
        <v>998</v>
      </c>
      <c r="I4" s="110" t="s">
        <v>153</v>
      </c>
      <c r="J4" s="112">
        <v>70</v>
      </c>
      <c r="K4" s="112">
        <v>2</v>
      </c>
      <c r="L4" s="112">
        <v>996</v>
      </c>
    </row>
    <row r="5" spans="1:12" ht="12.75" thickBot="1" x14ac:dyDescent="0.2">
      <c r="A5" s="111"/>
      <c r="B5" s="112">
        <v>48</v>
      </c>
      <c r="C5" s="112">
        <v>3</v>
      </c>
      <c r="D5" s="122">
        <v>993</v>
      </c>
      <c r="E5" s="113"/>
      <c r="F5" s="112">
        <v>90</v>
      </c>
      <c r="G5" s="112">
        <v>3</v>
      </c>
      <c r="H5" s="112">
        <v>997</v>
      </c>
      <c r="I5" s="113"/>
      <c r="J5" s="112">
        <v>70</v>
      </c>
      <c r="K5" s="112">
        <v>3</v>
      </c>
      <c r="L5" s="112">
        <v>993</v>
      </c>
    </row>
    <row r="6" spans="1:12" ht="12.75" thickBot="1" x14ac:dyDescent="0.2">
      <c r="A6" s="111"/>
      <c r="B6" s="112">
        <v>48</v>
      </c>
      <c r="C6" s="112">
        <v>4</v>
      </c>
      <c r="D6" s="122">
        <v>990</v>
      </c>
      <c r="E6" s="113"/>
      <c r="F6" s="112">
        <v>90</v>
      </c>
      <c r="G6" s="112">
        <v>4</v>
      </c>
      <c r="H6" s="112">
        <v>996</v>
      </c>
      <c r="I6" s="113"/>
      <c r="J6" s="112">
        <v>70</v>
      </c>
      <c r="K6" s="112">
        <v>4</v>
      </c>
      <c r="L6" s="112">
        <v>991</v>
      </c>
    </row>
    <row r="7" spans="1:12" ht="12.75" thickBot="1" x14ac:dyDescent="0.2">
      <c r="A7" s="111"/>
      <c r="B7" s="112">
        <v>48</v>
      </c>
      <c r="C7" s="112">
        <v>5</v>
      </c>
      <c r="D7" s="122">
        <v>987</v>
      </c>
      <c r="E7" s="113"/>
      <c r="F7" s="112">
        <v>90</v>
      </c>
      <c r="G7" s="112">
        <v>5</v>
      </c>
      <c r="H7" s="112">
        <v>995</v>
      </c>
      <c r="I7" s="113"/>
      <c r="J7" s="112">
        <v>70</v>
      </c>
      <c r="K7" s="112">
        <v>5</v>
      </c>
      <c r="L7" s="112">
        <v>989</v>
      </c>
    </row>
    <row r="8" spans="1:12" ht="12.75" thickBot="1" x14ac:dyDescent="0.2">
      <c r="A8" s="111"/>
      <c r="B8" s="112">
        <v>48</v>
      </c>
      <c r="C8" s="112">
        <v>6</v>
      </c>
      <c r="D8" s="122">
        <v>984</v>
      </c>
      <c r="E8" s="113"/>
      <c r="F8" s="112">
        <v>90</v>
      </c>
      <c r="G8" s="112">
        <v>6</v>
      </c>
      <c r="H8" s="112">
        <v>993</v>
      </c>
      <c r="I8" s="113"/>
      <c r="J8" s="112">
        <v>70</v>
      </c>
      <c r="K8" s="112">
        <v>6</v>
      </c>
      <c r="L8" s="112">
        <v>986</v>
      </c>
    </row>
    <row r="9" spans="1:12" ht="12.75" thickBot="1" x14ac:dyDescent="0.2">
      <c r="A9" s="111"/>
      <c r="B9" s="112">
        <v>48</v>
      </c>
      <c r="C9" s="112">
        <v>7</v>
      </c>
      <c r="D9" s="122">
        <v>981</v>
      </c>
      <c r="E9" s="113"/>
      <c r="F9" s="112">
        <v>90</v>
      </c>
      <c r="G9" s="112">
        <v>7</v>
      </c>
      <c r="H9" s="112">
        <v>992</v>
      </c>
      <c r="I9" s="113"/>
      <c r="J9" s="112">
        <v>70</v>
      </c>
      <c r="K9" s="112">
        <v>7</v>
      </c>
      <c r="L9" s="112">
        <v>983</v>
      </c>
    </row>
    <row r="10" spans="1:12" ht="12.75" thickBot="1" x14ac:dyDescent="0.2">
      <c r="A10" s="111"/>
      <c r="B10" s="112">
        <v>48</v>
      </c>
      <c r="C10" s="112">
        <v>8</v>
      </c>
      <c r="D10" s="122">
        <v>977</v>
      </c>
      <c r="E10" s="113"/>
      <c r="F10" s="112">
        <v>90</v>
      </c>
      <c r="G10" s="112">
        <v>8</v>
      </c>
      <c r="H10" s="112">
        <v>991</v>
      </c>
      <c r="I10" s="113"/>
      <c r="J10" s="112">
        <v>70</v>
      </c>
      <c r="K10" s="112">
        <v>8</v>
      </c>
      <c r="L10" s="112">
        <v>980</v>
      </c>
    </row>
    <row r="11" spans="1:12" ht="12.75" thickBot="1" x14ac:dyDescent="0.2">
      <c r="A11" s="111"/>
      <c r="B11" s="112">
        <v>48</v>
      </c>
      <c r="C11" s="112">
        <v>9</v>
      </c>
      <c r="D11" s="122">
        <v>973</v>
      </c>
      <c r="E11" s="113"/>
      <c r="F11" s="112">
        <v>90</v>
      </c>
      <c r="G11" s="112">
        <v>9</v>
      </c>
      <c r="H11" s="112">
        <v>989</v>
      </c>
      <c r="I11" s="113"/>
      <c r="J11" s="112">
        <v>70</v>
      </c>
      <c r="K11" s="112">
        <v>9</v>
      </c>
      <c r="L11" s="112">
        <v>977</v>
      </c>
    </row>
    <row r="12" spans="1:12" ht="12.75" thickBot="1" x14ac:dyDescent="0.2">
      <c r="A12" s="111"/>
      <c r="B12" s="112">
        <v>48</v>
      </c>
      <c r="C12" s="112">
        <v>10</v>
      </c>
      <c r="D12" s="122">
        <v>969</v>
      </c>
      <c r="E12" s="113"/>
      <c r="F12" s="112">
        <v>90</v>
      </c>
      <c r="G12" s="112">
        <v>10</v>
      </c>
      <c r="H12" s="112">
        <v>988</v>
      </c>
      <c r="I12" s="113"/>
      <c r="J12" s="112">
        <v>70</v>
      </c>
      <c r="K12" s="112">
        <v>10</v>
      </c>
      <c r="L12" s="112">
        <v>974</v>
      </c>
    </row>
    <row r="13" spans="1:12" ht="12.75" thickBot="1" x14ac:dyDescent="0.2">
      <c r="A13" s="111"/>
      <c r="B13" s="112">
        <v>48</v>
      </c>
      <c r="C13" s="112">
        <v>11</v>
      </c>
      <c r="D13" s="122">
        <v>964</v>
      </c>
      <c r="E13" s="113"/>
      <c r="F13" s="112">
        <v>90</v>
      </c>
      <c r="G13" s="112">
        <v>11</v>
      </c>
      <c r="H13" s="112">
        <v>986</v>
      </c>
      <c r="I13" s="113"/>
      <c r="J13" s="112">
        <v>70</v>
      </c>
      <c r="K13" s="112">
        <v>11</v>
      </c>
      <c r="L13" s="112">
        <v>971</v>
      </c>
    </row>
    <row r="14" spans="1:12" ht="12.75" thickBot="1" x14ac:dyDescent="0.2">
      <c r="A14" s="111"/>
      <c r="B14" s="112">
        <v>48</v>
      </c>
      <c r="C14" s="112">
        <v>12</v>
      </c>
      <c r="D14" s="122">
        <v>959</v>
      </c>
      <c r="E14" s="113"/>
      <c r="F14" s="112">
        <v>90</v>
      </c>
      <c r="G14" s="112">
        <v>12</v>
      </c>
      <c r="H14" s="112">
        <v>984</v>
      </c>
      <c r="I14" s="113"/>
      <c r="J14" s="112">
        <v>70</v>
      </c>
      <c r="K14" s="112">
        <v>12</v>
      </c>
      <c r="L14" s="112">
        <v>967</v>
      </c>
    </row>
    <row r="15" spans="1:12" ht="12.75" thickBot="1" x14ac:dyDescent="0.2">
      <c r="A15" s="111"/>
      <c r="B15" s="112">
        <v>48</v>
      </c>
      <c r="C15" s="112">
        <v>13</v>
      </c>
      <c r="D15" s="122">
        <v>954</v>
      </c>
      <c r="E15" s="113"/>
      <c r="F15" s="112">
        <v>90</v>
      </c>
      <c r="G15" s="112">
        <v>13</v>
      </c>
      <c r="H15" s="112">
        <v>983</v>
      </c>
      <c r="I15" s="113"/>
      <c r="J15" s="112">
        <v>70</v>
      </c>
      <c r="K15" s="112">
        <v>13</v>
      </c>
      <c r="L15" s="112">
        <v>964</v>
      </c>
    </row>
    <row r="16" spans="1:12" ht="12.75" thickBot="1" x14ac:dyDescent="0.2">
      <c r="A16" s="111"/>
      <c r="B16" s="112">
        <v>48</v>
      </c>
      <c r="C16" s="112">
        <v>14</v>
      </c>
      <c r="D16" s="122">
        <v>948</v>
      </c>
      <c r="E16" s="113"/>
      <c r="F16" s="112">
        <v>90</v>
      </c>
      <c r="G16" s="112">
        <v>14</v>
      </c>
      <c r="H16" s="112">
        <v>981</v>
      </c>
      <c r="I16" s="113"/>
      <c r="J16" s="112">
        <v>70</v>
      </c>
      <c r="K16" s="112">
        <v>14</v>
      </c>
      <c r="L16" s="112">
        <v>960</v>
      </c>
    </row>
    <row r="17" spans="1:12" ht="12.75" thickBot="1" x14ac:dyDescent="0.2">
      <c r="A17" s="111"/>
      <c r="B17" s="112">
        <v>48</v>
      </c>
      <c r="C17" s="112">
        <v>15</v>
      </c>
      <c r="D17" s="122">
        <v>942</v>
      </c>
      <c r="E17" s="113"/>
      <c r="F17" s="112">
        <v>90</v>
      </c>
      <c r="G17" s="112">
        <v>15</v>
      </c>
      <c r="H17" s="112">
        <v>979</v>
      </c>
      <c r="I17" s="113"/>
      <c r="J17" s="112">
        <v>70</v>
      </c>
      <c r="K17" s="112">
        <v>15</v>
      </c>
      <c r="L17" s="112">
        <v>956</v>
      </c>
    </row>
    <row r="18" spans="1:12" ht="12.75" thickBot="1" x14ac:dyDescent="0.2">
      <c r="A18" s="111"/>
      <c r="B18" s="112">
        <v>48</v>
      </c>
      <c r="C18" s="112">
        <v>16</v>
      </c>
      <c r="D18" s="122">
        <v>935</v>
      </c>
      <c r="E18" s="113"/>
      <c r="F18" s="112">
        <v>90</v>
      </c>
      <c r="G18" s="112">
        <v>16</v>
      </c>
      <c r="H18" s="112">
        <v>977</v>
      </c>
      <c r="I18" s="113"/>
      <c r="J18" s="112">
        <v>70</v>
      </c>
      <c r="K18" s="112">
        <v>16</v>
      </c>
      <c r="L18" s="112">
        <v>952</v>
      </c>
    </row>
    <row r="19" spans="1:12" ht="12.75" thickBot="1" x14ac:dyDescent="0.2">
      <c r="A19" s="111"/>
      <c r="B19" s="112">
        <v>48</v>
      </c>
      <c r="C19" s="112">
        <v>17</v>
      </c>
      <c r="D19" s="122">
        <v>928</v>
      </c>
      <c r="E19" s="113"/>
      <c r="F19" s="112">
        <v>90</v>
      </c>
      <c r="G19" s="112">
        <v>17</v>
      </c>
      <c r="H19" s="112">
        <v>975</v>
      </c>
      <c r="I19" s="113"/>
      <c r="J19" s="112">
        <v>70</v>
      </c>
      <c r="K19" s="112">
        <v>17</v>
      </c>
      <c r="L19" s="112">
        <v>948</v>
      </c>
    </row>
    <row r="20" spans="1:12" ht="12.75" thickBot="1" x14ac:dyDescent="0.2">
      <c r="A20" s="111"/>
      <c r="B20" s="112">
        <v>48</v>
      </c>
      <c r="C20" s="112">
        <v>18</v>
      </c>
      <c r="D20" s="122">
        <v>920</v>
      </c>
      <c r="E20" s="113"/>
      <c r="F20" s="112">
        <v>90</v>
      </c>
      <c r="G20" s="112">
        <v>18</v>
      </c>
      <c r="H20" s="112">
        <v>973</v>
      </c>
      <c r="I20" s="113"/>
      <c r="J20" s="112">
        <v>70</v>
      </c>
      <c r="K20" s="112">
        <v>18</v>
      </c>
      <c r="L20" s="112">
        <v>943</v>
      </c>
    </row>
    <row r="21" spans="1:12" ht="12.75" thickBot="1" x14ac:dyDescent="0.2">
      <c r="A21" s="111"/>
      <c r="B21" s="112">
        <v>48</v>
      </c>
      <c r="C21" s="112">
        <v>19</v>
      </c>
      <c r="D21" s="122">
        <v>912</v>
      </c>
      <c r="E21" s="113"/>
      <c r="F21" s="112">
        <v>90</v>
      </c>
      <c r="G21" s="112">
        <v>19</v>
      </c>
      <c r="H21" s="112">
        <v>971</v>
      </c>
      <c r="I21" s="113"/>
      <c r="J21" s="112">
        <v>70</v>
      </c>
      <c r="K21" s="112">
        <v>19</v>
      </c>
      <c r="L21" s="112">
        <v>938</v>
      </c>
    </row>
    <row r="22" spans="1:12" ht="12.75" thickBot="1" x14ac:dyDescent="0.2">
      <c r="A22" s="111"/>
      <c r="B22" s="112">
        <v>48</v>
      </c>
      <c r="C22" s="112">
        <v>20</v>
      </c>
      <c r="D22" s="122">
        <v>903</v>
      </c>
      <c r="E22" s="113"/>
      <c r="F22" s="112">
        <v>90</v>
      </c>
      <c r="G22" s="112">
        <v>20</v>
      </c>
      <c r="H22" s="112">
        <v>968</v>
      </c>
      <c r="I22" s="113"/>
      <c r="J22" s="112">
        <v>70</v>
      </c>
      <c r="K22" s="112">
        <v>20</v>
      </c>
      <c r="L22" s="112">
        <v>933</v>
      </c>
    </row>
    <row r="23" spans="1:12" ht="12.75" thickBot="1" x14ac:dyDescent="0.2">
      <c r="A23" s="111"/>
      <c r="B23" s="112">
        <v>48</v>
      </c>
      <c r="C23" s="112">
        <v>21</v>
      </c>
      <c r="D23" s="122">
        <v>893</v>
      </c>
      <c r="E23" s="113"/>
      <c r="F23" s="112">
        <v>90</v>
      </c>
      <c r="G23" s="112">
        <v>21</v>
      </c>
      <c r="H23" s="112">
        <v>966</v>
      </c>
      <c r="I23" s="113"/>
      <c r="J23" s="112">
        <v>70</v>
      </c>
      <c r="K23" s="112">
        <v>21</v>
      </c>
      <c r="L23" s="112">
        <v>928</v>
      </c>
    </row>
    <row r="24" spans="1:12" ht="12.75" thickBot="1" x14ac:dyDescent="0.2">
      <c r="A24" s="111"/>
      <c r="B24" s="112">
        <v>48</v>
      </c>
      <c r="C24" s="112">
        <v>22</v>
      </c>
      <c r="D24" s="122">
        <v>883</v>
      </c>
      <c r="E24" s="113"/>
      <c r="F24" s="112">
        <v>90</v>
      </c>
      <c r="G24" s="112">
        <v>22</v>
      </c>
      <c r="H24" s="112">
        <v>964</v>
      </c>
      <c r="I24" s="113"/>
      <c r="J24" s="112">
        <v>70</v>
      </c>
      <c r="K24" s="112">
        <v>22</v>
      </c>
      <c r="L24" s="112">
        <v>923</v>
      </c>
    </row>
    <row r="25" spans="1:12" ht="12.75" thickBot="1" x14ac:dyDescent="0.2">
      <c r="A25" s="111"/>
      <c r="B25" s="112">
        <v>48</v>
      </c>
      <c r="C25" s="112">
        <v>23</v>
      </c>
      <c r="D25" s="122">
        <v>872</v>
      </c>
      <c r="E25" s="113"/>
      <c r="F25" s="112">
        <v>90</v>
      </c>
      <c r="G25" s="112">
        <v>23</v>
      </c>
      <c r="H25" s="112">
        <v>961</v>
      </c>
      <c r="I25" s="113"/>
      <c r="J25" s="112">
        <v>70</v>
      </c>
      <c r="K25" s="112">
        <v>23</v>
      </c>
      <c r="L25" s="112">
        <v>918</v>
      </c>
    </row>
    <row r="26" spans="1:12" ht="12.75" thickBot="1" x14ac:dyDescent="0.2">
      <c r="A26" s="111"/>
      <c r="B26" s="112">
        <v>48</v>
      </c>
      <c r="C26" s="112">
        <v>24</v>
      </c>
      <c r="D26" s="122">
        <v>861</v>
      </c>
      <c r="E26" s="113"/>
      <c r="F26" s="112">
        <v>90</v>
      </c>
      <c r="G26" s="112">
        <v>24</v>
      </c>
      <c r="H26" s="112">
        <v>958</v>
      </c>
      <c r="I26" s="113"/>
      <c r="J26" s="112">
        <v>70</v>
      </c>
      <c r="K26" s="112">
        <v>24</v>
      </c>
      <c r="L26" s="112">
        <v>912</v>
      </c>
    </row>
    <row r="27" spans="1:12" ht="12.75" thickBot="1" x14ac:dyDescent="0.2">
      <c r="A27" s="111"/>
      <c r="B27" s="112">
        <v>48</v>
      </c>
      <c r="C27" s="112">
        <v>25</v>
      </c>
      <c r="D27" s="122">
        <v>849</v>
      </c>
      <c r="E27" s="113"/>
      <c r="F27" s="112">
        <v>90</v>
      </c>
      <c r="G27" s="112">
        <v>25</v>
      </c>
      <c r="H27" s="112">
        <v>955</v>
      </c>
      <c r="I27" s="113"/>
      <c r="J27" s="112">
        <v>70</v>
      </c>
      <c r="K27" s="112">
        <v>25</v>
      </c>
      <c r="L27" s="112">
        <v>906</v>
      </c>
    </row>
    <row r="28" spans="1:12" ht="12.75" thickBot="1" x14ac:dyDescent="0.2">
      <c r="A28" s="111"/>
      <c r="B28" s="112">
        <v>48</v>
      </c>
      <c r="C28" s="112">
        <v>26</v>
      </c>
      <c r="D28" s="122">
        <v>835</v>
      </c>
      <c r="E28" s="113"/>
      <c r="F28" s="112">
        <v>90</v>
      </c>
      <c r="G28" s="112">
        <v>26</v>
      </c>
      <c r="H28" s="112">
        <v>952</v>
      </c>
      <c r="I28" s="113"/>
      <c r="J28" s="112">
        <v>70</v>
      </c>
      <c r="K28" s="112">
        <v>26</v>
      </c>
      <c r="L28" s="112">
        <v>900</v>
      </c>
    </row>
    <row r="29" spans="1:12" ht="12.75" thickBot="1" x14ac:dyDescent="0.2">
      <c r="A29" s="111"/>
      <c r="B29" s="112">
        <v>48</v>
      </c>
      <c r="C29" s="112">
        <v>27</v>
      </c>
      <c r="D29" s="122">
        <v>821</v>
      </c>
      <c r="E29" s="113"/>
      <c r="F29" s="112">
        <v>90</v>
      </c>
      <c r="G29" s="112">
        <v>27</v>
      </c>
      <c r="H29" s="112">
        <v>949</v>
      </c>
      <c r="I29" s="113"/>
      <c r="J29" s="112">
        <v>70</v>
      </c>
      <c r="K29" s="112">
        <v>27</v>
      </c>
      <c r="L29" s="112">
        <v>893</v>
      </c>
    </row>
    <row r="30" spans="1:12" ht="12.75" thickBot="1" x14ac:dyDescent="0.2">
      <c r="A30" s="111"/>
      <c r="B30" s="112">
        <v>48</v>
      </c>
      <c r="C30" s="112">
        <v>28</v>
      </c>
      <c r="D30" s="122">
        <v>806</v>
      </c>
      <c r="E30" s="113"/>
      <c r="F30" s="112">
        <v>90</v>
      </c>
      <c r="G30" s="112">
        <v>28</v>
      </c>
      <c r="H30" s="112">
        <v>946</v>
      </c>
      <c r="I30" s="113"/>
      <c r="J30" s="112">
        <v>70</v>
      </c>
      <c r="K30" s="112">
        <v>28</v>
      </c>
      <c r="L30" s="112">
        <v>887</v>
      </c>
    </row>
    <row r="31" spans="1:12" ht="12.75" thickBot="1" x14ac:dyDescent="0.2">
      <c r="A31" s="111"/>
      <c r="B31" s="112">
        <v>48</v>
      </c>
      <c r="C31" s="112">
        <v>29</v>
      </c>
      <c r="D31" s="122">
        <v>791</v>
      </c>
      <c r="E31" s="113"/>
      <c r="F31" s="112">
        <v>90</v>
      </c>
      <c r="G31" s="112">
        <v>29</v>
      </c>
      <c r="H31" s="112">
        <v>943</v>
      </c>
      <c r="I31" s="113"/>
      <c r="J31" s="112">
        <v>70</v>
      </c>
      <c r="K31" s="112">
        <v>29</v>
      </c>
      <c r="L31" s="112">
        <v>880</v>
      </c>
    </row>
    <row r="32" spans="1:12" ht="12.75" thickBot="1" x14ac:dyDescent="0.2">
      <c r="A32" s="111"/>
      <c r="B32" s="130">
        <v>48</v>
      </c>
      <c r="C32" s="466">
        <v>30</v>
      </c>
      <c r="D32" s="467">
        <v>774</v>
      </c>
      <c r="E32" s="111"/>
      <c r="F32" s="130">
        <v>90</v>
      </c>
      <c r="G32" s="130">
        <v>30</v>
      </c>
      <c r="H32" s="130">
        <v>939</v>
      </c>
      <c r="I32" s="111"/>
      <c r="J32" s="130">
        <v>70</v>
      </c>
      <c r="K32" s="130">
        <v>30</v>
      </c>
      <c r="L32" s="130">
        <v>872</v>
      </c>
    </row>
    <row r="33" spans="1:12" ht="12.75" thickBot="1" x14ac:dyDescent="0.2">
      <c r="A33" s="111"/>
      <c r="B33" s="112">
        <v>48</v>
      </c>
      <c r="C33" s="112">
        <v>31</v>
      </c>
      <c r="D33" s="122">
        <v>756</v>
      </c>
      <c r="E33" s="113"/>
      <c r="F33" s="112">
        <v>90</v>
      </c>
      <c r="G33" s="112">
        <v>31</v>
      </c>
      <c r="H33" s="112">
        <v>936</v>
      </c>
      <c r="I33" s="113"/>
      <c r="J33" s="112">
        <v>70</v>
      </c>
      <c r="K33" s="112">
        <v>31</v>
      </c>
      <c r="L33" s="112">
        <v>865</v>
      </c>
    </row>
    <row r="34" spans="1:12" ht="12.75" thickBot="1" x14ac:dyDescent="0.2">
      <c r="A34" s="111"/>
      <c r="B34" s="112">
        <v>48</v>
      </c>
      <c r="C34" s="112">
        <v>32</v>
      </c>
      <c r="D34" s="122">
        <v>736</v>
      </c>
      <c r="E34" s="113"/>
      <c r="F34" s="112">
        <v>90</v>
      </c>
      <c r="G34" s="112">
        <v>32</v>
      </c>
      <c r="H34" s="112">
        <v>932</v>
      </c>
      <c r="I34" s="113"/>
      <c r="J34" s="112">
        <v>70</v>
      </c>
      <c r="K34" s="112">
        <v>32</v>
      </c>
      <c r="L34" s="112">
        <v>857</v>
      </c>
    </row>
    <row r="35" spans="1:12" ht="12.75" thickBot="1" x14ac:dyDescent="0.2">
      <c r="A35" s="111"/>
      <c r="B35" s="112">
        <v>48</v>
      </c>
      <c r="C35" s="112">
        <v>33</v>
      </c>
      <c r="D35" s="122">
        <v>716</v>
      </c>
      <c r="E35" s="113"/>
      <c r="F35" s="112">
        <v>90</v>
      </c>
      <c r="G35" s="112">
        <v>33</v>
      </c>
      <c r="H35" s="112">
        <v>928</v>
      </c>
      <c r="I35" s="113"/>
      <c r="J35" s="112">
        <v>70</v>
      </c>
      <c r="K35" s="112">
        <v>33</v>
      </c>
      <c r="L35" s="112">
        <v>849</v>
      </c>
    </row>
    <row r="36" spans="1:12" ht="12.75" thickBot="1" x14ac:dyDescent="0.2">
      <c r="A36" s="111"/>
      <c r="B36" s="112">
        <v>48</v>
      </c>
      <c r="C36" s="112">
        <v>34</v>
      </c>
      <c r="D36" s="122">
        <v>694</v>
      </c>
      <c r="E36" s="113"/>
      <c r="F36" s="112">
        <v>90</v>
      </c>
      <c r="G36" s="112">
        <v>34</v>
      </c>
      <c r="H36" s="112">
        <v>924</v>
      </c>
      <c r="I36" s="113"/>
      <c r="J36" s="112">
        <v>70</v>
      </c>
      <c r="K36" s="112">
        <v>34</v>
      </c>
      <c r="L36" s="112">
        <v>840</v>
      </c>
    </row>
    <row r="37" spans="1:12" ht="12.75" thickBot="1" x14ac:dyDescent="0.2">
      <c r="A37" s="111"/>
      <c r="B37" s="112">
        <v>48</v>
      </c>
      <c r="C37" s="112">
        <v>35</v>
      </c>
      <c r="D37" s="122">
        <v>671</v>
      </c>
      <c r="E37" s="113"/>
      <c r="F37" s="112">
        <v>90</v>
      </c>
      <c r="G37" s="112">
        <v>35</v>
      </c>
      <c r="H37" s="112">
        <v>920</v>
      </c>
      <c r="I37" s="113"/>
      <c r="J37" s="112">
        <v>70</v>
      </c>
      <c r="K37" s="112">
        <v>35</v>
      </c>
      <c r="L37" s="112">
        <v>831</v>
      </c>
    </row>
    <row r="38" spans="1:12" ht="12.75" thickBot="1" x14ac:dyDescent="0.2">
      <c r="A38" s="111"/>
      <c r="B38" s="112">
        <v>48</v>
      </c>
      <c r="C38" s="112">
        <v>36</v>
      </c>
      <c r="D38" s="122">
        <v>646</v>
      </c>
      <c r="E38" s="113"/>
      <c r="F38" s="112">
        <v>90</v>
      </c>
      <c r="G38" s="112">
        <v>36</v>
      </c>
      <c r="H38" s="112">
        <v>916</v>
      </c>
      <c r="I38" s="113"/>
      <c r="J38" s="112">
        <v>70</v>
      </c>
      <c r="K38" s="112">
        <v>36</v>
      </c>
      <c r="L38" s="112">
        <v>822</v>
      </c>
    </row>
    <row r="39" spans="1:12" ht="12.75" thickBot="1" x14ac:dyDescent="0.2">
      <c r="A39" s="111"/>
      <c r="B39" s="112">
        <v>48</v>
      </c>
      <c r="C39" s="112">
        <v>37</v>
      </c>
      <c r="D39" s="122">
        <v>620</v>
      </c>
      <c r="E39" s="113"/>
      <c r="F39" s="112">
        <v>90</v>
      </c>
      <c r="G39" s="112">
        <v>37</v>
      </c>
      <c r="H39" s="112">
        <v>911</v>
      </c>
      <c r="I39" s="113"/>
      <c r="J39" s="112">
        <v>70</v>
      </c>
      <c r="K39" s="112">
        <v>37</v>
      </c>
      <c r="L39" s="112">
        <v>813</v>
      </c>
    </row>
    <row r="40" spans="1:12" ht="12.75" thickBot="1" x14ac:dyDescent="0.2">
      <c r="A40" s="111"/>
      <c r="B40" s="112">
        <v>48</v>
      </c>
      <c r="C40" s="112">
        <v>38</v>
      </c>
      <c r="D40" s="122">
        <v>592</v>
      </c>
      <c r="E40" s="113"/>
      <c r="F40" s="112">
        <v>90</v>
      </c>
      <c r="G40" s="112">
        <v>38</v>
      </c>
      <c r="H40" s="112">
        <v>906</v>
      </c>
      <c r="I40" s="113"/>
      <c r="J40" s="112">
        <v>70</v>
      </c>
      <c r="K40" s="112">
        <v>38</v>
      </c>
      <c r="L40" s="112">
        <v>803</v>
      </c>
    </row>
    <row r="41" spans="1:12" ht="12.75" thickBot="1" x14ac:dyDescent="0.2">
      <c r="A41" s="111"/>
      <c r="B41" s="112">
        <v>48</v>
      </c>
      <c r="C41" s="112">
        <v>39</v>
      </c>
      <c r="D41" s="122">
        <v>563</v>
      </c>
      <c r="E41" s="113"/>
      <c r="F41" s="112">
        <v>90</v>
      </c>
      <c r="G41" s="112">
        <v>39</v>
      </c>
      <c r="H41" s="112">
        <v>902</v>
      </c>
      <c r="I41" s="113"/>
      <c r="J41" s="112">
        <v>70</v>
      </c>
      <c r="K41" s="112">
        <v>39</v>
      </c>
      <c r="L41" s="112">
        <v>793</v>
      </c>
    </row>
    <row r="42" spans="1:12" ht="12.75" thickBot="1" x14ac:dyDescent="0.2">
      <c r="A42" s="111"/>
      <c r="B42" s="112">
        <v>48</v>
      </c>
      <c r="C42" s="112">
        <v>40</v>
      </c>
      <c r="D42" s="122">
        <v>531</v>
      </c>
      <c r="E42" s="113"/>
      <c r="F42" s="112">
        <v>90</v>
      </c>
      <c r="G42" s="112">
        <v>40</v>
      </c>
      <c r="H42" s="112">
        <v>897</v>
      </c>
      <c r="I42" s="113"/>
      <c r="J42" s="112">
        <v>70</v>
      </c>
      <c r="K42" s="112">
        <v>40</v>
      </c>
      <c r="L42" s="112">
        <v>782</v>
      </c>
    </row>
    <row r="43" spans="1:12" ht="12.75" thickBot="1" x14ac:dyDescent="0.2">
      <c r="A43" s="111"/>
      <c r="B43" s="112">
        <v>48</v>
      </c>
      <c r="C43" s="112">
        <v>41</v>
      </c>
      <c r="D43" s="122">
        <v>498</v>
      </c>
      <c r="E43" s="113"/>
      <c r="F43" s="112">
        <v>90</v>
      </c>
      <c r="G43" s="112">
        <v>41</v>
      </c>
      <c r="H43" s="112">
        <v>891</v>
      </c>
      <c r="I43" s="113"/>
      <c r="J43" s="112">
        <v>70</v>
      </c>
      <c r="K43" s="112">
        <v>41</v>
      </c>
      <c r="L43" s="112">
        <v>771</v>
      </c>
    </row>
    <row r="44" spans="1:12" ht="12.75" thickBot="1" x14ac:dyDescent="0.2">
      <c r="A44" s="111"/>
      <c r="B44" s="112">
        <v>48</v>
      </c>
      <c r="C44" s="112">
        <v>42</v>
      </c>
      <c r="D44" s="122">
        <v>462</v>
      </c>
      <c r="E44" s="113"/>
      <c r="F44" s="112">
        <v>90</v>
      </c>
      <c r="G44" s="112">
        <v>42</v>
      </c>
      <c r="H44" s="112">
        <v>886</v>
      </c>
      <c r="I44" s="113"/>
      <c r="J44" s="112">
        <v>70</v>
      </c>
      <c r="K44" s="112">
        <v>42</v>
      </c>
      <c r="L44" s="112">
        <v>760</v>
      </c>
    </row>
    <row r="45" spans="1:12" ht="12.75" thickBot="1" x14ac:dyDescent="0.2">
      <c r="A45" s="111"/>
      <c r="B45" s="112">
        <v>48</v>
      </c>
      <c r="C45" s="112">
        <v>43</v>
      </c>
      <c r="D45" s="122">
        <v>425</v>
      </c>
      <c r="E45" s="113"/>
      <c r="F45" s="112">
        <v>90</v>
      </c>
      <c r="G45" s="112">
        <v>43</v>
      </c>
      <c r="H45" s="112">
        <v>880</v>
      </c>
      <c r="I45" s="113"/>
      <c r="J45" s="112">
        <v>70</v>
      </c>
      <c r="K45" s="112">
        <v>43</v>
      </c>
      <c r="L45" s="112">
        <v>748</v>
      </c>
    </row>
    <row r="46" spans="1:12" ht="12.75" thickBot="1" x14ac:dyDescent="0.2">
      <c r="A46" s="111"/>
      <c r="B46" s="112">
        <v>48</v>
      </c>
      <c r="C46" s="112">
        <v>44</v>
      </c>
      <c r="D46" s="122">
        <v>385</v>
      </c>
      <c r="E46" s="113"/>
      <c r="F46" s="112">
        <v>90</v>
      </c>
      <c r="G46" s="112">
        <v>44</v>
      </c>
      <c r="H46" s="112">
        <v>874</v>
      </c>
      <c r="I46" s="113"/>
      <c r="J46" s="112">
        <v>70</v>
      </c>
      <c r="K46" s="112">
        <v>44</v>
      </c>
      <c r="L46" s="112">
        <v>735</v>
      </c>
    </row>
    <row r="47" spans="1:12" ht="12.75" thickBot="1" x14ac:dyDescent="0.2">
      <c r="A47" s="111"/>
      <c r="B47" s="112">
        <v>48</v>
      </c>
      <c r="C47" s="112">
        <v>45</v>
      </c>
      <c r="D47" s="122">
        <v>343</v>
      </c>
      <c r="E47" s="113"/>
      <c r="F47" s="112">
        <v>90</v>
      </c>
      <c r="G47" s="112">
        <v>45</v>
      </c>
      <c r="H47" s="112">
        <v>868</v>
      </c>
      <c r="I47" s="113"/>
      <c r="J47" s="112">
        <v>70</v>
      </c>
      <c r="K47" s="112">
        <v>45</v>
      </c>
      <c r="L47" s="112">
        <v>723</v>
      </c>
    </row>
    <row r="48" spans="1:12" ht="12.75" thickBot="1" x14ac:dyDescent="0.2">
      <c r="A48" s="111"/>
      <c r="B48" s="112">
        <v>48</v>
      </c>
      <c r="C48" s="112">
        <v>46</v>
      </c>
      <c r="D48" s="122">
        <v>298</v>
      </c>
      <c r="E48" s="113"/>
      <c r="F48" s="112">
        <v>90</v>
      </c>
      <c r="G48" s="112">
        <v>46</v>
      </c>
      <c r="H48" s="112">
        <v>862</v>
      </c>
      <c r="I48" s="113"/>
      <c r="J48" s="112">
        <v>70</v>
      </c>
      <c r="K48" s="112">
        <v>46</v>
      </c>
      <c r="L48" s="112">
        <v>709</v>
      </c>
    </row>
    <row r="49" spans="1:12" ht="12.75" thickBot="1" x14ac:dyDescent="0.2">
      <c r="A49" s="111"/>
      <c r="B49" s="112">
        <v>48</v>
      </c>
      <c r="C49" s="112">
        <v>47</v>
      </c>
      <c r="D49" s="122">
        <v>250</v>
      </c>
      <c r="E49" s="113"/>
      <c r="F49" s="112">
        <v>90</v>
      </c>
      <c r="G49" s="112">
        <v>47</v>
      </c>
      <c r="H49" s="112">
        <v>856</v>
      </c>
      <c r="I49" s="113"/>
      <c r="J49" s="112">
        <v>70</v>
      </c>
      <c r="K49" s="112">
        <v>47</v>
      </c>
      <c r="L49" s="112">
        <v>696</v>
      </c>
    </row>
    <row r="50" spans="1:12" ht="12.75" thickBot="1" x14ac:dyDescent="0.2">
      <c r="A50" s="111"/>
      <c r="B50" s="112">
        <v>48</v>
      </c>
      <c r="C50" s="112">
        <v>48</v>
      </c>
      <c r="D50" s="122">
        <v>200</v>
      </c>
      <c r="E50" s="113"/>
      <c r="F50" s="112">
        <v>90</v>
      </c>
      <c r="G50" s="112">
        <v>48</v>
      </c>
      <c r="H50" s="112">
        <v>849</v>
      </c>
      <c r="I50" s="113"/>
      <c r="J50" s="112">
        <v>70</v>
      </c>
      <c r="K50" s="112">
        <v>48</v>
      </c>
      <c r="L50" s="112">
        <v>681</v>
      </c>
    </row>
    <row r="51" spans="1:12" ht="12.75" thickBot="1" x14ac:dyDescent="0.2">
      <c r="A51" s="111"/>
      <c r="B51" s="112"/>
      <c r="C51" s="112"/>
      <c r="D51" s="122"/>
      <c r="E51" s="113"/>
      <c r="F51" s="112">
        <v>90</v>
      </c>
      <c r="G51" s="112">
        <v>49</v>
      </c>
      <c r="H51" s="112">
        <v>842</v>
      </c>
      <c r="I51" s="113"/>
      <c r="J51" s="112">
        <v>70</v>
      </c>
      <c r="K51" s="112">
        <v>49</v>
      </c>
      <c r="L51" s="112">
        <v>667</v>
      </c>
    </row>
    <row r="52" spans="1:12" ht="12.75" thickBot="1" x14ac:dyDescent="0.2">
      <c r="A52" s="111"/>
      <c r="B52" s="112"/>
      <c r="C52" s="112"/>
      <c r="D52" s="122"/>
      <c r="E52" s="113"/>
      <c r="F52" s="112">
        <v>90</v>
      </c>
      <c r="G52" s="112">
        <v>50</v>
      </c>
      <c r="H52" s="112">
        <v>834</v>
      </c>
      <c r="I52" s="113"/>
      <c r="J52" s="112">
        <v>70</v>
      </c>
      <c r="K52" s="112">
        <v>50</v>
      </c>
      <c r="L52" s="112">
        <v>651</v>
      </c>
    </row>
    <row r="53" spans="1:12" ht="12.75" thickBot="1" x14ac:dyDescent="0.2">
      <c r="A53" s="111"/>
      <c r="B53" s="112"/>
      <c r="C53" s="112"/>
      <c r="D53" s="122"/>
      <c r="E53" s="113"/>
      <c r="F53" s="112">
        <v>90</v>
      </c>
      <c r="G53" s="112">
        <v>51</v>
      </c>
      <c r="H53" s="112">
        <v>827</v>
      </c>
      <c r="I53" s="113"/>
      <c r="J53" s="112">
        <v>70</v>
      </c>
      <c r="K53" s="112">
        <v>51</v>
      </c>
      <c r="L53" s="112">
        <v>635</v>
      </c>
    </row>
    <row r="54" spans="1:12" ht="12.75" thickBot="1" x14ac:dyDescent="0.2">
      <c r="A54" s="111"/>
      <c r="B54" s="112"/>
      <c r="C54" s="112"/>
      <c r="D54" s="122"/>
      <c r="E54" s="113"/>
      <c r="F54" s="112">
        <v>90</v>
      </c>
      <c r="G54" s="112">
        <v>52</v>
      </c>
      <c r="H54" s="112">
        <v>819</v>
      </c>
      <c r="I54" s="113"/>
      <c r="J54" s="112">
        <v>70</v>
      </c>
      <c r="K54" s="112">
        <v>52</v>
      </c>
      <c r="L54" s="112">
        <v>619</v>
      </c>
    </row>
    <row r="55" spans="1:12" ht="12.75" thickBot="1" x14ac:dyDescent="0.2">
      <c r="A55" s="111"/>
      <c r="B55" s="112"/>
      <c r="C55" s="112"/>
      <c r="D55" s="122"/>
      <c r="E55" s="113"/>
      <c r="F55" s="112">
        <v>90</v>
      </c>
      <c r="G55" s="112">
        <v>53</v>
      </c>
      <c r="H55" s="112">
        <v>811</v>
      </c>
      <c r="I55" s="113"/>
      <c r="J55" s="112">
        <v>70</v>
      </c>
      <c r="K55" s="112">
        <v>53</v>
      </c>
      <c r="L55" s="112">
        <v>602</v>
      </c>
    </row>
    <row r="56" spans="1:12" ht="12.75" thickBot="1" x14ac:dyDescent="0.2">
      <c r="A56" s="111"/>
      <c r="B56" s="112"/>
      <c r="C56" s="112"/>
      <c r="D56" s="122"/>
      <c r="E56" s="113"/>
      <c r="F56" s="112">
        <v>90</v>
      </c>
      <c r="G56" s="112">
        <v>54</v>
      </c>
      <c r="H56" s="112">
        <v>803</v>
      </c>
      <c r="I56" s="113"/>
      <c r="J56" s="112">
        <v>70</v>
      </c>
      <c r="K56" s="112">
        <v>54</v>
      </c>
      <c r="L56" s="112">
        <v>584</v>
      </c>
    </row>
    <row r="57" spans="1:12" ht="12.75" thickBot="1" x14ac:dyDescent="0.2">
      <c r="A57" s="111"/>
      <c r="B57" s="112"/>
      <c r="C57" s="112"/>
      <c r="D57" s="122"/>
      <c r="E57" s="113"/>
      <c r="F57" s="112">
        <v>90</v>
      </c>
      <c r="G57" s="112">
        <v>55</v>
      </c>
      <c r="H57" s="112">
        <v>794</v>
      </c>
      <c r="I57" s="113"/>
      <c r="J57" s="112">
        <v>70</v>
      </c>
      <c r="K57" s="112">
        <v>55</v>
      </c>
      <c r="L57" s="112">
        <v>566</v>
      </c>
    </row>
    <row r="58" spans="1:12" ht="12.75" thickBot="1" x14ac:dyDescent="0.2">
      <c r="A58" s="111"/>
      <c r="B58" s="112"/>
      <c r="C58" s="112"/>
      <c r="D58" s="122"/>
      <c r="E58" s="113"/>
      <c r="F58" s="112">
        <v>90</v>
      </c>
      <c r="G58" s="112">
        <v>56</v>
      </c>
      <c r="H58" s="112">
        <v>785</v>
      </c>
      <c r="I58" s="113"/>
      <c r="J58" s="112">
        <v>70</v>
      </c>
      <c r="K58" s="112">
        <v>56</v>
      </c>
      <c r="L58" s="112">
        <v>547</v>
      </c>
    </row>
    <row r="59" spans="1:12" ht="12.75" thickBot="1" x14ac:dyDescent="0.2">
      <c r="A59" s="111"/>
      <c r="B59" s="112"/>
      <c r="C59" s="112"/>
      <c r="D59" s="122"/>
      <c r="E59" s="113"/>
      <c r="F59" s="112">
        <v>90</v>
      </c>
      <c r="G59" s="112">
        <v>57</v>
      </c>
      <c r="H59" s="112">
        <v>776</v>
      </c>
      <c r="I59" s="113"/>
      <c r="J59" s="112">
        <v>70</v>
      </c>
      <c r="K59" s="112">
        <v>57</v>
      </c>
      <c r="L59" s="112">
        <v>527</v>
      </c>
    </row>
    <row r="60" spans="1:12" ht="12.75" thickBot="1" x14ac:dyDescent="0.2">
      <c r="A60" s="111"/>
      <c r="B60" s="112"/>
      <c r="C60" s="112"/>
      <c r="D60" s="122"/>
      <c r="E60" s="113"/>
      <c r="F60" s="112">
        <v>90</v>
      </c>
      <c r="G60" s="112">
        <v>58</v>
      </c>
      <c r="H60" s="112">
        <v>766</v>
      </c>
      <c r="I60" s="113"/>
      <c r="J60" s="112">
        <v>70</v>
      </c>
      <c r="K60" s="112">
        <v>58</v>
      </c>
      <c r="L60" s="112">
        <v>507</v>
      </c>
    </row>
    <row r="61" spans="1:12" ht="12.75" thickBot="1" x14ac:dyDescent="0.2">
      <c r="A61" s="111"/>
      <c r="B61" s="112"/>
      <c r="C61" s="112"/>
      <c r="D61" s="122"/>
      <c r="E61" s="113"/>
      <c r="F61" s="112">
        <v>90</v>
      </c>
      <c r="G61" s="112">
        <v>59</v>
      </c>
      <c r="H61" s="112">
        <v>756</v>
      </c>
      <c r="I61" s="113"/>
      <c r="J61" s="112">
        <v>70</v>
      </c>
      <c r="K61" s="112">
        <v>59</v>
      </c>
      <c r="L61" s="112">
        <v>486</v>
      </c>
    </row>
    <row r="62" spans="1:12" ht="12.75" thickBot="1" x14ac:dyDescent="0.2">
      <c r="A62" s="111"/>
      <c r="B62" s="112"/>
      <c r="C62" s="112"/>
      <c r="D62" s="122"/>
      <c r="E62" s="113"/>
      <c r="F62" s="112">
        <v>90</v>
      </c>
      <c r="G62" s="112">
        <v>60</v>
      </c>
      <c r="H62" s="109">
        <v>746</v>
      </c>
      <c r="I62" s="113"/>
      <c r="J62" s="112">
        <v>70</v>
      </c>
      <c r="K62" s="112">
        <v>60</v>
      </c>
      <c r="L62" s="109">
        <v>464</v>
      </c>
    </row>
    <row r="63" spans="1:12" ht="12.75" thickBot="1" x14ac:dyDescent="0.2">
      <c r="A63" s="123"/>
      <c r="B63" s="112"/>
      <c r="C63" s="124"/>
      <c r="D63" s="122"/>
      <c r="E63" s="113"/>
      <c r="F63" s="112">
        <v>90</v>
      </c>
      <c r="G63" s="112">
        <v>61</v>
      </c>
      <c r="H63" s="109">
        <v>735</v>
      </c>
      <c r="I63" s="113"/>
      <c r="J63" s="112">
        <v>70</v>
      </c>
      <c r="K63" s="112">
        <v>61</v>
      </c>
      <c r="L63" s="109">
        <v>442</v>
      </c>
    </row>
    <row r="64" spans="1:12" ht="12.75" thickBot="1" x14ac:dyDescent="0.2">
      <c r="A64" s="120"/>
      <c r="B64" s="120"/>
      <c r="C64" s="120"/>
      <c r="D64" s="125"/>
      <c r="E64" s="111"/>
      <c r="F64" s="112">
        <v>90</v>
      </c>
      <c r="G64" s="112">
        <v>62</v>
      </c>
      <c r="H64" s="109">
        <v>724</v>
      </c>
      <c r="I64" s="111"/>
      <c r="J64" s="112">
        <v>70</v>
      </c>
      <c r="K64" s="112">
        <v>62</v>
      </c>
      <c r="L64" s="109">
        <v>418</v>
      </c>
    </row>
    <row r="65" spans="1:12" ht="12.75" thickBot="1" x14ac:dyDescent="0.2">
      <c r="A65" s="120"/>
      <c r="B65" s="120"/>
      <c r="C65" s="120"/>
      <c r="D65" s="125"/>
      <c r="E65" s="111"/>
      <c r="F65" s="112">
        <v>90</v>
      </c>
      <c r="G65" s="112">
        <v>63</v>
      </c>
      <c r="H65" s="109">
        <v>712</v>
      </c>
      <c r="I65" s="111"/>
      <c r="J65" s="112">
        <v>70</v>
      </c>
      <c r="K65" s="112">
        <v>63</v>
      </c>
      <c r="L65" s="109">
        <v>394</v>
      </c>
    </row>
    <row r="66" spans="1:12" ht="12.75" thickBot="1" x14ac:dyDescent="0.2">
      <c r="A66" s="120"/>
      <c r="B66" s="120"/>
      <c r="C66" s="120"/>
      <c r="D66" s="125"/>
      <c r="E66" s="111"/>
      <c r="F66" s="112">
        <v>90</v>
      </c>
      <c r="G66" s="112">
        <v>64</v>
      </c>
      <c r="H66" s="109">
        <v>701</v>
      </c>
      <c r="I66" s="111"/>
      <c r="J66" s="112">
        <v>70</v>
      </c>
      <c r="K66" s="112">
        <v>64</v>
      </c>
      <c r="L66" s="109">
        <v>369</v>
      </c>
    </row>
    <row r="67" spans="1:12" ht="12.75" thickBot="1" x14ac:dyDescent="0.2">
      <c r="A67" s="120"/>
      <c r="B67" s="120"/>
      <c r="C67" s="120"/>
      <c r="D67" s="125"/>
      <c r="E67" s="111"/>
      <c r="F67" s="112">
        <v>90</v>
      </c>
      <c r="G67" s="112">
        <v>65</v>
      </c>
      <c r="H67" s="109">
        <v>688</v>
      </c>
      <c r="I67" s="111"/>
      <c r="J67" s="112">
        <v>70</v>
      </c>
      <c r="K67" s="112">
        <v>65</v>
      </c>
      <c r="L67" s="109">
        <v>343</v>
      </c>
    </row>
    <row r="68" spans="1:12" ht="12.75" thickBot="1" x14ac:dyDescent="0.2">
      <c r="A68" s="120"/>
      <c r="B68" s="120"/>
      <c r="C68" s="120"/>
      <c r="D68" s="125"/>
      <c r="E68" s="111"/>
      <c r="F68" s="112">
        <v>90</v>
      </c>
      <c r="G68" s="112">
        <v>66</v>
      </c>
      <c r="H68" s="109">
        <v>676</v>
      </c>
      <c r="I68" s="111"/>
      <c r="J68" s="112">
        <v>70</v>
      </c>
      <c r="K68" s="112">
        <v>66</v>
      </c>
      <c r="L68" s="109">
        <v>317</v>
      </c>
    </row>
    <row r="69" spans="1:12" ht="12.75" thickBot="1" x14ac:dyDescent="0.2">
      <c r="A69" s="120"/>
      <c r="B69" s="120"/>
      <c r="C69" s="120"/>
      <c r="D69" s="125"/>
      <c r="E69" s="111"/>
      <c r="F69" s="112">
        <v>90</v>
      </c>
      <c r="G69" s="112">
        <v>67</v>
      </c>
      <c r="H69" s="109">
        <v>663</v>
      </c>
      <c r="I69" s="111"/>
      <c r="J69" s="112">
        <v>70</v>
      </c>
      <c r="K69" s="112">
        <v>67</v>
      </c>
      <c r="L69" s="109">
        <v>289</v>
      </c>
    </row>
    <row r="70" spans="1:12" ht="12.75" thickBot="1" x14ac:dyDescent="0.2">
      <c r="A70" s="120"/>
      <c r="B70" s="120"/>
      <c r="C70" s="120"/>
      <c r="D70" s="125"/>
      <c r="E70" s="111"/>
      <c r="F70" s="112">
        <v>90</v>
      </c>
      <c r="G70" s="112">
        <v>68</v>
      </c>
      <c r="H70" s="109">
        <v>649</v>
      </c>
      <c r="I70" s="111"/>
      <c r="J70" s="112">
        <v>70</v>
      </c>
      <c r="K70" s="112">
        <v>68</v>
      </c>
      <c r="L70" s="109">
        <v>260</v>
      </c>
    </row>
    <row r="71" spans="1:12" ht="12.75" thickBot="1" x14ac:dyDescent="0.2">
      <c r="A71" s="120"/>
      <c r="B71" s="120"/>
      <c r="C71" s="120"/>
      <c r="D71" s="125"/>
      <c r="E71" s="111"/>
      <c r="F71" s="112">
        <v>90</v>
      </c>
      <c r="G71" s="112">
        <v>69</v>
      </c>
      <c r="H71" s="109">
        <v>635</v>
      </c>
      <c r="I71" s="111"/>
      <c r="J71" s="112">
        <v>70</v>
      </c>
      <c r="K71" s="112">
        <v>69</v>
      </c>
      <c r="L71" s="109">
        <v>231</v>
      </c>
    </row>
    <row r="72" spans="1:12" ht="12.75" thickBot="1" x14ac:dyDescent="0.2">
      <c r="A72" s="120"/>
      <c r="B72" s="120"/>
      <c r="C72" s="120"/>
      <c r="D72" s="125"/>
      <c r="E72" s="111"/>
      <c r="F72" s="112">
        <v>90</v>
      </c>
      <c r="G72" s="112">
        <v>70</v>
      </c>
      <c r="H72" s="109">
        <v>620</v>
      </c>
      <c r="I72" s="111"/>
      <c r="J72" s="112">
        <v>70</v>
      </c>
      <c r="K72" s="112">
        <v>70</v>
      </c>
      <c r="L72" s="109">
        <v>200</v>
      </c>
    </row>
    <row r="73" spans="1:12" ht="12.75" thickBot="1" x14ac:dyDescent="0.2">
      <c r="A73" s="120"/>
      <c r="B73" s="120"/>
      <c r="C73" s="120"/>
      <c r="D73" s="125"/>
      <c r="E73" s="123"/>
      <c r="F73" s="112">
        <v>90</v>
      </c>
      <c r="G73" s="112">
        <v>71</v>
      </c>
      <c r="H73" s="109">
        <v>605</v>
      </c>
      <c r="I73" s="123"/>
      <c r="J73" s="112"/>
      <c r="K73" s="124"/>
      <c r="L73" s="112"/>
    </row>
    <row r="74" spans="1:12" ht="14.25" thickBot="1" x14ac:dyDescent="0.2">
      <c r="A74" s="126"/>
      <c r="B74" s="126"/>
      <c r="C74" s="126"/>
      <c r="D74" s="127"/>
      <c r="E74" s="128"/>
      <c r="F74" s="112">
        <v>90</v>
      </c>
      <c r="G74" s="112">
        <v>72</v>
      </c>
      <c r="H74" s="109">
        <v>590</v>
      </c>
      <c r="I74" s="126"/>
      <c r="J74" s="126"/>
      <c r="K74" s="126"/>
      <c r="L74" s="126"/>
    </row>
    <row r="75" spans="1:12" ht="14.25" thickBot="1" x14ac:dyDescent="0.2">
      <c r="A75" s="126"/>
      <c r="B75" s="126"/>
      <c r="C75" s="126"/>
      <c r="D75" s="127"/>
      <c r="E75" s="129"/>
      <c r="F75" s="112">
        <v>90</v>
      </c>
      <c r="G75" s="112">
        <v>73</v>
      </c>
      <c r="H75" s="109">
        <v>574</v>
      </c>
      <c r="I75" s="126"/>
      <c r="J75" s="126"/>
      <c r="K75" s="126"/>
      <c r="L75" s="126"/>
    </row>
    <row r="76" spans="1:12" ht="14.25" thickBot="1" x14ac:dyDescent="0.2">
      <c r="A76" s="126"/>
      <c r="B76" s="126"/>
      <c r="C76" s="126"/>
      <c r="D76" s="127"/>
      <c r="E76" s="129"/>
      <c r="F76" s="112">
        <v>90</v>
      </c>
      <c r="G76" s="112">
        <v>74</v>
      </c>
      <c r="H76" s="109">
        <v>557</v>
      </c>
      <c r="I76" s="126"/>
      <c r="J76" s="126"/>
      <c r="K76" s="126"/>
      <c r="L76" s="126"/>
    </row>
    <row r="77" spans="1:12" ht="14.25" thickBot="1" x14ac:dyDescent="0.2">
      <c r="A77" s="126"/>
      <c r="B77" s="126"/>
      <c r="C77" s="126"/>
      <c r="D77" s="127"/>
      <c r="E77" s="129"/>
      <c r="F77" s="112">
        <v>90</v>
      </c>
      <c r="G77" s="112">
        <v>75</v>
      </c>
      <c r="H77" s="109">
        <v>540</v>
      </c>
      <c r="I77" s="126"/>
      <c r="J77" s="126"/>
      <c r="K77" s="126"/>
      <c r="L77" s="126"/>
    </row>
    <row r="78" spans="1:12" ht="14.25" thickBot="1" x14ac:dyDescent="0.2">
      <c r="A78" s="126"/>
      <c r="B78" s="126"/>
      <c r="C78" s="126"/>
      <c r="D78" s="127"/>
      <c r="E78" s="129"/>
      <c r="F78" s="112">
        <v>90</v>
      </c>
      <c r="G78" s="112">
        <v>76</v>
      </c>
      <c r="H78" s="109">
        <v>522</v>
      </c>
      <c r="I78" s="126"/>
      <c r="J78" s="126"/>
      <c r="K78" s="126"/>
      <c r="L78" s="126"/>
    </row>
    <row r="79" spans="1:12" ht="14.25" thickBot="1" x14ac:dyDescent="0.2">
      <c r="A79" s="126"/>
      <c r="B79" s="126"/>
      <c r="C79" s="126"/>
      <c r="D79" s="127"/>
      <c r="E79" s="129"/>
      <c r="F79" s="112">
        <v>90</v>
      </c>
      <c r="G79" s="112">
        <v>77</v>
      </c>
      <c r="H79" s="109">
        <v>503</v>
      </c>
      <c r="I79" s="126"/>
      <c r="J79" s="126"/>
      <c r="K79" s="126"/>
      <c r="L79" s="126"/>
    </row>
    <row r="80" spans="1:12" ht="14.25" thickBot="1" x14ac:dyDescent="0.2">
      <c r="A80" s="126"/>
      <c r="B80" s="126"/>
      <c r="C80" s="126"/>
      <c r="D80" s="127"/>
      <c r="E80" s="129"/>
      <c r="F80" s="112">
        <v>90</v>
      </c>
      <c r="G80" s="112">
        <v>78</v>
      </c>
      <c r="H80" s="109">
        <v>484</v>
      </c>
      <c r="I80" s="126"/>
      <c r="J80" s="126"/>
      <c r="K80" s="126"/>
      <c r="L80" s="126"/>
    </row>
    <row r="81" spans="1:12" ht="14.25" thickBot="1" x14ac:dyDescent="0.2">
      <c r="A81" s="126"/>
      <c r="B81" s="126"/>
      <c r="C81" s="126"/>
      <c r="D81" s="127"/>
      <c r="E81" s="129"/>
      <c r="F81" s="112">
        <v>90</v>
      </c>
      <c r="G81" s="112">
        <v>79</v>
      </c>
      <c r="H81" s="109">
        <v>465</v>
      </c>
      <c r="I81" s="126"/>
      <c r="J81" s="126"/>
      <c r="K81" s="126"/>
      <c r="L81" s="126"/>
    </row>
    <row r="82" spans="1:12" ht="14.25" thickBot="1" x14ac:dyDescent="0.2">
      <c r="A82" s="126"/>
      <c r="B82" s="126"/>
      <c r="C82" s="126"/>
      <c r="D82" s="127"/>
      <c r="E82" s="129"/>
      <c r="F82" s="112">
        <v>90</v>
      </c>
      <c r="G82" s="112">
        <v>80</v>
      </c>
      <c r="H82" s="109">
        <v>444</v>
      </c>
      <c r="I82" s="126"/>
      <c r="J82" s="126"/>
      <c r="K82" s="126"/>
      <c r="L82" s="126"/>
    </row>
    <row r="83" spans="1:12" ht="14.25" thickBot="1" x14ac:dyDescent="0.2">
      <c r="A83" s="126"/>
      <c r="B83" s="126"/>
      <c r="C83" s="126"/>
      <c r="D83" s="127"/>
      <c r="E83" s="129"/>
      <c r="F83" s="112">
        <v>90</v>
      </c>
      <c r="G83" s="112">
        <v>81</v>
      </c>
      <c r="H83" s="109">
        <v>423</v>
      </c>
      <c r="I83" s="126"/>
      <c r="J83" s="126"/>
      <c r="K83" s="126"/>
      <c r="L83" s="126"/>
    </row>
    <row r="84" spans="1:12" ht="14.25" thickBot="1" x14ac:dyDescent="0.2">
      <c r="A84" s="126"/>
      <c r="B84" s="126"/>
      <c r="C84" s="126"/>
      <c r="D84" s="127"/>
      <c r="E84" s="129"/>
      <c r="F84" s="112">
        <v>90</v>
      </c>
      <c r="G84" s="112">
        <v>82</v>
      </c>
      <c r="H84" s="109">
        <v>402</v>
      </c>
      <c r="I84" s="126"/>
      <c r="J84" s="126"/>
      <c r="K84" s="126"/>
      <c r="L84" s="126"/>
    </row>
    <row r="85" spans="1:12" ht="14.25" thickBot="1" x14ac:dyDescent="0.2">
      <c r="A85" s="126"/>
      <c r="B85" s="126"/>
      <c r="C85" s="126"/>
      <c r="D85" s="127"/>
      <c r="E85" s="129"/>
      <c r="F85" s="112">
        <v>90</v>
      </c>
      <c r="G85" s="112">
        <v>83</v>
      </c>
      <c r="H85" s="109">
        <v>379</v>
      </c>
      <c r="I85" s="126"/>
      <c r="J85" s="126"/>
      <c r="K85" s="126"/>
      <c r="L85" s="126"/>
    </row>
    <row r="86" spans="1:12" ht="14.25" thickBot="1" x14ac:dyDescent="0.2">
      <c r="A86" s="126"/>
      <c r="B86" s="126"/>
      <c r="C86" s="126"/>
      <c r="D86" s="127"/>
      <c r="E86" s="129"/>
      <c r="F86" s="112">
        <v>90</v>
      </c>
      <c r="G86" s="112">
        <v>84</v>
      </c>
      <c r="H86" s="109">
        <v>356</v>
      </c>
      <c r="I86" s="126"/>
      <c r="J86" s="126"/>
      <c r="K86" s="126"/>
      <c r="L86" s="126"/>
    </row>
    <row r="87" spans="1:12" ht="14.25" thickBot="1" x14ac:dyDescent="0.2">
      <c r="A87" s="126"/>
      <c r="B87" s="126"/>
      <c r="C87" s="126"/>
      <c r="D87" s="127"/>
      <c r="E87" s="129"/>
      <c r="F87" s="112">
        <v>90</v>
      </c>
      <c r="G87" s="112">
        <v>85</v>
      </c>
      <c r="H87" s="109">
        <v>332</v>
      </c>
      <c r="I87" s="126"/>
      <c r="J87" s="126"/>
      <c r="K87" s="126"/>
      <c r="L87" s="126"/>
    </row>
    <row r="88" spans="1:12" ht="14.25" thickBot="1" x14ac:dyDescent="0.2">
      <c r="A88" s="126"/>
      <c r="B88" s="126"/>
      <c r="C88" s="126"/>
      <c r="D88" s="127"/>
      <c r="E88" s="129"/>
      <c r="F88" s="112">
        <v>90</v>
      </c>
      <c r="G88" s="112">
        <v>86</v>
      </c>
      <c r="H88" s="109">
        <v>307</v>
      </c>
      <c r="I88" s="126"/>
      <c r="J88" s="126"/>
      <c r="K88" s="126"/>
      <c r="L88" s="126"/>
    </row>
    <row r="89" spans="1:12" ht="14.25" thickBot="1" x14ac:dyDescent="0.2">
      <c r="A89" s="126"/>
      <c r="B89" s="126"/>
      <c r="C89" s="126"/>
      <c r="D89" s="127"/>
      <c r="E89" s="129"/>
      <c r="F89" s="112">
        <v>90</v>
      </c>
      <c r="G89" s="112">
        <v>87</v>
      </c>
      <c r="H89" s="109">
        <v>282</v>
      </c>
      <c r="I89" s="126"/>
      <c r="J89" s="126"/>
      <c r="K89" s="126"/>
      <c r="L89" s="126"/>
    </row>
    <row r="90" spans="1:12" ht="14.25" thickBot="1" x14ac:dyDescent="0.2">
      <c r="A90" s="126"/>
      <c r="B90" s="126"/>
      <c r="C90" s="126"/>
      <c r="D90" s="127"/>
      <c r="E90" s="129"/>
      <c r="F90" s="112">
        <v>90</v>
      </c>
      <c r="G90" s="112">
        <v>88</v>
      </c>
      <c r="H90" s="109">
        <v>255</v>
      </c>
      <c r="I90" s="126"/>
      <c r="J90" s="126"/>
      <c r="K90" s="126"/>
      <c r="L90" s="126"/>
    </row>
    <row r="91" spans="1:12" ht="14.25" thickBot="1" x14ac:dyDescent="0.2">
      <c r="A91" s="126"/>
      <c r="B91" s="126"/>
      <c r="C91" s="126"/>
      <c r="D91" s="127"/>
      <c r="E91" s="129"/>
      <c r="F91" s="112">
        <v>90</v>
      </c>
      <c r="G91" s="112">
        <v>89</v>
      </c>
      <c r="H91" s="109">
        <v>228</v>
      </c>
      <c r="I91" s="126"/>
      <c r="J91" s="126"/>
      <c r="K91" s="126"/>
      <c r="L91" s="126"/>
    </row>
    <row r="92" spans="1:12" ht="14.25" thickBot="1" x14ac:dyDescent="0.2">
      <c r="A92" s="126"/>
      <c r="B92" s="126"/>
      <c r="C92" s="126"/>
      <c r="D92" s="127"/>
      <c r="E92" s="129"/>
      <c r="F92" s="112">
        <v>90</v>
      </c>
      <c r="G92" s="112">
        <v>90</v>
      </c>
      <c r="H92" s="109">
        <v>200</v>
      </c>
      <c r="I92" s="126"/>
      <c r="J92" s="126"/>
      <c r="K92" s="126"/>
      <c r="L92" s="126"/>
    </row>
  </sheetData>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pageSetUpPr fitToPage="1"/>
  </sheetPr>
  <dimension ref="B1:M77"/>
  <sheetViews>
    <sheetView workbookViewId="0"/>
  </sheetViews>
  <sheetFormatPr defaultRowHeight="13.5" x14ac:dyDescent="0.15"/>
  <cols>
    <col min="1" max="1" width="3.75" customWidth="1"/>
    <col min="3" max="3" width="21.75" customWidth="1"/>
    <col min="4" max="11" width="13.125" customWidth="1"/>
    <col min="13" max="13" width="13.875" bestFit="1" customWidth="1"/>
  </cols>
  <sheetData>
    <row r="1" spans="2:11" ht="14.25" x14ac:dyDescent="0.15">
      <c r="B1" s="459" t="s">
        <v>298</v>
      </c>
      <c r="C1" s="459"/>
      <c r="D1" s="459"/>
      <c r="E1" s="459"/>
      <c r="F1" s="459"/>
      <c r="G1" s="459"/>
      <c r="H1" s="459"/>
      <c r="I1" s="459"/>
      <c r="J1" s="459"/>
      <c r="K1" s="419">
        <f ca="1">TODAY()</f>
        <v>45398</v>
      </c>
    </row>
    <row r="2" spans="2:11" x14ac:dyDescent="0.15">
      <c r="B2" t="s">
        <v>314</v>
      </c>
    </row>
    <row r="3" spans="2:11" x14ac:dyDescent="0.15">
      <c r="B3" s="1463" t="s">
        <v>253</v>
      </c>
      <c r="C3" s="1463"/>
      <c r="D3" s="458" t="s">
        <v>299</v>
      </c>
      <c r="E3" s="458" t="s">
        <v>300</v>
      </c>
      <c r="F3" s="458">
        <v>2020</v>
      </c>
      <c r="G3" s="458">
        <v>2021</v>
      </c>
      <c r="H3" s="458">
        <v>2022</v>
      </c>
      <c r="I3" s="458">
        <v>2023</v>
      </c>
      <c r="J3" s="458">
        <v>2024</v>
      </c>
      <c r="K3" s="1463" t="s">
        <v>31</v>
      </c>
    </row>
    <row r="4" spans="2:11" ht="30" customHeight="1" thickBot="1" x14ac:dyDescent="0.2">
      <c r="B4" s="1464" t="s">
        <v>254</v>
      </c>
      <c r="C4" s="1464"/>
      <c r="D4" s="457" t="s">
        <v>301</v>
      </c>
      <c r="E4" s="457" t="s">
        <v>266</v>
      </c>
      <c r="F4" s="457" t="s">
        <v>267</v>
      </c>
      <c r="G4" s="457" t="s">
        <v>268</v>
      </c>
      <c r="H4" s="457" t="s">
        <v>255</v>
      </c>
      <c r="I4" s="457" t="s">
        <v>256</v>
      </c>
      <c r="J4" s="457" t="s">
        <v>302</v>
      </c>
      <c r="K4" s="1464"/>
    </row>
    <row r="5" spans="2:11" ht="14.25" thickTop="1" x14ac:dyDescent="0.15">
      <c r="B5" s="420" t="s">
        <v>278</v>
      </c>
      <c r="C5" s="421"/>
      <c r="D5" s="422">
        <f t="shared" ref="D5:J5" si="0">SUM(D6:D13)</f>
        <v>0</v>
      </c>
      <c r="E5" s="422">
        <f t="shared" si="0"/>
        <v>0</v>
      </c>
      <c r="F5" s="422" t="e">
        <f t="shared" si="0"/>
        <v>#REF!</v>
      </c>
      <c r="G5" s="422" t="e">
        <f t="shared" si="0"/>
        <v>#REF!</v>
      </c>
      <c r="H5" s="422" t="e">
        <f t="shared" si="0"/>
        <v>#REF!</v>
      </c>
      <c r="I5" s="422" t="e">
        <f t="shared" si="0"/>
        <v>#REF!</v>
      </c>
      <c r="J5" s="422">
        <f t="shared" si="0"/>
        <v>0</v>
      </c>
      <c r="K5" s="422" t="e">
        <f>SUM(D5:J5)</f>
        <v>#REF!</v>
      </c>
    </row>
    <row r="6" spans="2:11" x14ac:dyDescent="0.15">
      <c r="B6" s="420"/>
      <c r="C6" s="423" t="s">
        <v>269</v>
      </c>
      <c r="D6" s="424"/>
      <c r="E6" s="424"/>
      <c r="F6" s="468">
        <f>様式３!E5</f>
        <v>0</v>
      </c>
      <c r="G6" s="424"/>
      <c r="H6" s="424"/>
      <c r="I6" s="424"/>
      <c r="J6" s="424"/>
      <c r="K6" s="424">
        <f t="shared" ref="K6:K31" si="1">SUM(D6:J6)</f>
        <v>0</v>
      </c>
    </row>
    <row r="7" spans="2:11" x14ac:dyDescent="0.15">
      <c r="B7" s="420"/>
      <c r="C7" s="425" t="s">
        <v>270</v>
      </c>
      <c r="D7" s="426"/>
      <c r="E7" s="426"/>
      <c r="F7" s="426">
        <f>様式３!E6</f>
        <v>0</v>
      </c>
      <c r="G7" s="426"/>
      <c r="H7" s="426"/>
      <c r="I7" s="426"/>
      <c r="J7" s="426"/>
      <c r="K7" s="426">
        <f t="shared" si="1"/>
        <v>0</v>
      </c>
    </row>
    <row r="8" spans="2:11" x14ac:dyDescent="0.15">
      <c r="B8" s="420"/>
      <c r="C8" s="425" t="s">
        <v>271</v>
      </c>
      <c r="D8" s="426"/>
      <c r="E8" s="426"/>
      <c r="F8" s="426">
        <f>様式３!E7</f>
        <v>0</v>
      </c>
      <c r="G8" s="426"/>
      <c r="H8" s="426"/>
      <c r="I8" s="426"/>
      <c r="J8" s="426"/>
      <c r="K8" s="426">
        <f t="shared" si="1"/>
        <v>0</v>
      </c>
    </row>
    <row r="9" spans="2:11" x14ac:dyDescent="0.15">
      <c r="B9" s="420"/>
      <c r="C9" s="425" t="s">
        <v>272</v>
      </c>
      <c r="D9" s="426"/>
      <c r="E9" s="426"/>
      <c r="F9" s="426"/>
      <c r="G9" s="426">
        <f>様式３!E8*0.8</f>
        <v>0</v>
      </c>
      <c r="H9" s="426">
        <f>様式３!E8*0.1</f>
        <v>0</v>
      </c>
      <c r="I9" s="426">
        <f>様式３!E8*0.1</f>
        <v>0</v>
      </c>
      <c r="J9" s="426"/>
      <c r="K9" s="426">
        <f t="shared" si="1"/>
        <v>0</v>
      </c>
    </row>
    <row r="10" spans="2:11" x14ac:dyDescent="0.15">
      <c r="B10" s="420"/>
      <c r="C10" s="425" t="s">
        <v>286</v>
      </c>
      <c r="D10" s="426"/>
      <c r="E10" s="426"/>
      <c r="F10" s="426"/>
      <c r="G10" s="426"/>
      <c r="H10" s="426">
        <f>様式３!E9*0.5</f>
        <v>0</v>
      </c>
      <c r="I10" s="426">
        <f>様式３!E9*0.5</f>
        <v>0</v>
      </c>
      <c r="J10" s="426"/>
      <c r="K10" s="426">
        <f t="shared" si="1"/>
        <v>0</v>
      </c>
    </row>
    <row r="11" spans="2:11" x14ac:dyDescent="0.15">
      <c r="B11" s="420"/>
      <c r="C11" s="425" t="s">
        <v>273</v>
      </c>
      <c r="D11" s="426"/>
      <c r="E11" s="426"/>
      <c r="F11" s="426"/>
      <c r="G11" s="426">
        <f>様式３!E10*0.8</f>
        <v>0</v>
      </c>
      <c r="H11" s="426"/>
      <c r="I11" s="426">
        <f>様式３!E10*0.2</f>
        <v>0</v>
      </c>
      <c r="J11" s="426"/>
      <c r="K11" s="426">
        <f t="shared" si="1"/>
        <v>0</v>
      </c>
    </row>
    <row r="12" spans="2:11" x14ac:dyDescent="0.15">
      <c r="B12" s="456"/>
      <c r="C12" s="425" t="s">
        <v>274</v>
      </c>
      <c r="D12" s="426"/>
      <c r="E12" s="426"/>
      <c r="F12" s="426" t="e">
        <f>様式３!#REF!*SUM(F6:F11)/SUM($K$6:$K$11)</f>
        <v>#REF!</v>
      </c>
      <c r="G12" s="426" t="e">
        <f>様式３!#REF!*SUM(G6:G11)/SUM($K$6:$K$11)</f>
        <v>#REF!</v>
      </c>
      <c r="H12" s="426" t="e">
        <f>様式３!#REF!*SUM(H6:H11)/SUM($K$6:$K$11)</f>
        <v>#REF!</v>
      </c>
      <c r="I12" s="426" t="e">
        <f>様式３!#REF!*SUM(I6:I11)/SUM($K$6:$K$11)</f>
        <v>#REF!</v>
      </c>
      <c r="J12" s="426"/>
      <c r="K12" s="426" t="e">
        <f t="shared" si="1"/>
        <v>#REF!</v>
      </c>
    </row>
    <row r="13" spans="2:11" x14ac:dyDescent="0.15">
      <c r="B13" s="420"/>
      <c r="C13" s="454" t="s">
        <v>127</v>
      </c>
      <c r="D13" s="450"/>
      <c r="E13" s="450"/>
      <c r="F13" s="450" t="e">
        <f>SUM(F6:F12)*0.1</f>
        <v>#REF!</v>
      </c>
      <c r="G13" s="450" t="e">
        <f>SUM(G6:G12)*0.1</f>
        <v>#REF!</v>
      </c>
      <c r="H13" s="450" t="e">
        <f>SUM(H6:H12)*0.1</f>
        <v>#REF!</v>
      </c>
      <c r="I13" s="450" t="e">
        <f>SUM(I6:I12)*0.1</f>
        <v>#REF!</v>
      </c>
      <c r="J13" s="450"/>
      <c r="K13" s="450" t="e">
        <f t="shared" si="1"/>
        <v>#REF!</v>
      </c>
    </row>
    <row r="14" spans="2:11" x14ac:dyDescent="0.15">
      <c r="B14" s="430" t="s">
        <v>279</v>
      </c>
      <c r="C14" s="431"/>
      <c r="D14" s="432">
        <f t="shared" ref="D14:J14" si="2">SUM(D15:D17)</f>
        <v>0</v>
      </c>
      <c r="E14" s="432">
        <f t="shared" si="2"/>
        <v>0</v>
      </c>
      <c r="F14" s="432">
        <f t="shared" si="2"/>
        <v>0</v>
      </c>
      <c r="G14" s="432">
        <f t="shared" si="2"/>
        <v>0</v>
      </c>
      <c r="H14" s="432">
        <f t="shared" si="2"/>
        <v>0</v>
      </c>
      <c r="I14" s="432">
        <f t="shared" si="2"/>
        <v>0</v>
      </c>
      <c r="J14" s="432">
        <f t="shared" si="2"/>
        <v>0</v>
      </c>
      <c r="K14" s="432">
        <f t="shared" si="1"/>
        <v>0</v>
      </c>
    </row>
    <row r="15" spans="2:11" x14ac:dyDescent="0.15">
      <c r="B15" s="420"/>
      <c r="C15" s="423" t="s">
        <v>282</v>
      </c>
      <c r="D15" s="424"/>
      <c r="E15" s="424"/>
      <c r="F15" s="424"/>
      <c r="G15" s="424"/>
      <c r="H15" s="424">
        <f>SUM(様式３!E13:E13)</f>
        <v>0</v>
      </c>
      <c r="I15" s="424"/>
      <c r="J15" s="424"/>
      <c r="K15" s="424">
        <f t="shared" si="1"/>
        <v>0</v>
      </c>
    </row>
    <row r="16" spans="2:11" x14ac:dyDescent="0.15">
      <c r="B16" s="420"/>
      <c r="C16" s="425" t="s">
        <v>275</v>
      </c>
      <c r="D16" s="426"/>
      <c r="E16" s="426"/>
      <c r="F16" s="426"/>
      <c r="G16" s="426"/>
      <c r="H16" s="426">
        <f>様式３!E14</f>
        <v>0</v>
      </c>
      <c r="I16" s="426"/>
      <c r="J16" s="426"/>
      <c r="K16" s="426">
        <f t="shared" si="1"/>
        <v>0</v>
      </c>
    </row>
    <row r="17" spans="2:13" x14ac:dyDescent="0.15">
      <c r="B17" s="455"/>
      <c r="C17" s="454" t="s">
        <v>127</v>
      </c>
      <c r="D17" s="450"/>
      <c r="E17" s="450"/>
      <c r="F17" s="450">
        <f>SUM(F15:F16)*0.1</f>
        <v>0</v>
      </c>
      <c r="G17" s="450">
        <f>SUM(G15:G16)*0.1</f>
        <v>0</v>
      </c>
      <c r="H17" s="450">
        <f>SUM(H15:H16)*0.1</f>
        <v>0</v>
      </c>
      <c r="I17" s="450">
        <f>SUM(I15:I16)*0.1</f>
        <v>0</v>
      </c>
      <c r="J17" s="450"/>
      <c r="K17" s="450">
        <f t="shared" si="1"/>
        <v>0</v>
      </c>
    </row>
    <row r="18" spans="2:13" x14ac:dyDescent="0.15">
      <c r="B18" s="430" t="s">
        <v>280</v>
      </c>
      <c r="C18" s="431"/>
      <c r="D18" s="432">
        <f t="shared" ref="D18:J18" si="3">SUM(D19:D22)</f>
        <v>0</v>
      </c>
      <c r="E18" s="432">
        <f t="shared" si="3"/>
        <v>0</v>
      </c>
      <c r="F18" s="432">
        <f t="shared" si="3"/>
        <v>0</v>
      </c>
      <c r="G18" s="432" t="e">
        <f t="shared" si="3"/>
        <v>#REF!</v>
      </c>
      <c r="H18" s="432">
        <f t="shared" si="3"/>
        <v>0</v>
      </c>
      <c r="I18" s="432">
        <f t="shared" si="3"/>
        <v>0</v>
      </c>
      <c r="J18" s="432">
        <f t="shared" si="3"/>
        <v>0</v>
      </c>
      <c r="K18" s="432" t="e">
        <f t="shared" si="1"/>
        <v>#REF!</v>
      </c>
    </row>
    <row r="19" spans="2:13" x14ac:dyDescent="0.15">
      <c r="B19" s="420"/>
      <c r="C19" s="423" t="s">
        <v>283</v>
      </c>
      <c r="D19" s="433"/>
      <c r="E19" s="433"/>
      <c r="F19" s="433"/>
      <c r="G19" s="424">
        <f>SUM(様式３!E17:E17)</f>
        <v>0</v>
      </c>
      <c r="H19" s="424"/>
      <c r="I19" s="424"/>
      <c r="J19" s="424"/>
      <c r="K19" s="424">
        <f t="shared" si="1"/>
        <v>0</v>
      </c>
    </row>
    <row r="20" spans="2:13" x14ac:dyDescent="0.15">
      <c r="B20" s="420"/>
      <c r="C20" s="425" t="s">
        <v>276</v>
      </c>
      <c r="D20" s="434"/>
      <c r="E20" s="434"/>
      <c r="F20" s="434"/>
      <c r="G20" s="426">
        <f>様式３!E19</f>
        <v>0</v>
      </c>
      <c r="H20" s="426"/>
      <c r="I20" s="426"/>
      <c r="J20" s="426"/>
      <c r="K20" s="426">
        <f t="shared" si="1"/>
        <v>0</v>
      </c>
    </row>
    <row r="21" spans="2:13" x14ac:dyDescent="0.15">
      <c r="B21" s="420"/>
      <c r="C21" s="425" t="s">
        <v>257</v>
      </c>
      <c r="D21" s="434"/>
      <c r="E21" s="434"/>
      <c r="F21" s="434"/>
      <c r="G21" s="426">
        <f>SUM(様式３!E20:E20)</f>
        <v>0</v>
      </c>
      <c r="H21" s="426"/>
      <c r="I21" s="426"/>
      <c r="J21" s="426"/>
      <c r="K21" s="426">
        <f t="shared" si="1"/>
        <v>0</v>
      </c>
    </row>
    <row r="22" spans="2:13" x14ac:dyDescent="0.15">
      <c r="B22" s="427"/>
      <c r="C22" s="428" t="s">
        <v>277</v>
      </c>
      <c r="D22" s="435"/>
      <c r="E22" s="435"/>
      <c r="F22" s="435"/>
      <c r="G22" s="429" t="e">
        <f>様式３!#REF!</f>
        <v>#REF!</v>
      </c>
      <c r="H22" s="429"/>
      <c r="I22" s="429"/>
      <c r="J22" s="429"/>
      <c r="K22" s="429" t="e">
        <f t="shared" si="1"/>
        <v>#REF!</v>
      </c>
    </row>
    <row r="23" spans="2:13" x14ac:dyDescent="0.15">
      <c r="B23" s="436" t="s">
        <v>281</v>
      </c>
      <c r="C23" s="431"/>
      <c r="D23" s="437">
        <v>0</v>
      </c>
      <c r="E23" s="437">
        <v>0</v>
      </c>
      <c r="F23" s="432">
        <v>0</v>
      </c>
      <c r="G23" s="432">
        <v>0</v>
      </c>
      <c r="H23" s="432">
        <f>様式３!E34*0.3</f>
        <v>0</v>
      </c>
      <c r="I23" s="432">
        <f>様式３!E34*0.7</f>
        <v>0</v>
      </c>
      <c r="J23" s="432">
        <f>様式３!F34*0.7</f>
        <v>0</v>
      </c>
      <c r="K23" s="432">
        <f t="shared" si="1"/>
        <v>0</v>
      </c>
    </row>
    <row r="24" spans="2:13" x14ac:dyDescent="0.15">
      <c r="B24" s="430" t="s">
        <v>93</v>
      </c>
      <c r="C24" s="431"/>
      <c r="D24" s="437">
        <v>15</v>
      </c>
      <c r="E24" s="437">
        <v>20</v>
      </c>
      <c r="F24" s="437">
        <f>(様式３!$E$40-($D$24+$E$24+$J$24))/4</f>
        <v>-12.5</v>
      </c>
      <c r="G24" s="437">
        <f>(様式３!$E$40-($D$24+$E$24+$J$24))/4</f>
        <v>-12.5</v>
      </c>
      <c r="H24" s="437">
        <f>(様式３!$E$40-($D$24+$E$24+$J$24))/4</f>
        <v>-12.5</v>
      </c>
      <c r="I24" s="437">
        <f>(様式３!$E$40-($D$24+$E$24+$J$24))/4</f>
        <v>-12.5</v>
      </c>
      <c r="J24" s="437">
        <v>15</v>
      </c>
      <c r="K24" s="432">
        <f t="shared" si="1"/>
        <v>0</v>
      </c>
    </row>
    <row r="25" spans="2:13" x14ac:dyDescent="0.15">
      <c r="B25" s="456"/>
      <c r="C25" s="499" t="s">
        <v>308</v>
      </c>
      <c r="D25" s="500">
        <v>0</v>
      </c>
      <c r="E25" s="500">
        <v>5</v>
      </c>
      <c r="F25" s="500">
        <v>10</v>
      </c>
      <c r="G25" s="500">
        <v>10</v>
      </c>
      <c r="H25" s="500">
        <v>10</v>
      </c>
      <c r="I25" s="500">
        <v>10</v>
      </c>
      <c r="J25" s="500">
        <v>3</v>
      </c>
      <c r="K25" s="501">
        <f t="shared" si="1"/>
        <v>48</v>
      </c>
    </row>
    <row r="26" spans="2:13" x14ac:dyDescent="0.15">
      <c r="B26" s="455"/>
      <c r="C26" s="428" t="s">
        <v>309</v>
      </c>
      <c r="D26" s="435">
        <f>D24-D25</f>
        <v>15</v>
      </c>
      <c r="E26" s="435">
        <f t="shared" ref="E26:J26" si="4">E24-E25</f>
        <v>15</v>
      </c>
      <c r="F26" s="435">
        <f t="shared" si="4"/>
        <v>-22.5</v>
      </c>
      <c r="G26" s="435">
        <f t="shared" si="4"/>
        <v>-22.5</v>
      </c>
      <c r="H26" s="435">
        <f t="shared" si="4"/>
        <v>-22.5</v>
      </c>
      <c r="I26" s="435">
        <f t="shared" si="4"/>
        <v>-22.5</v>
      </c>
      <c r="J26" s="435">
        <f t="shared" si="4"/>
        <v>12</v>
      </c>
      <c r="K26" s="429">
        <f t="shared" si="1"/>
        <v>-48</v>
      </c>
      <c r="M26" s="452"/>
    </row>
    <row r="27" spans="2:13" x14ac:dyDescent="0.15">
      <c r="B27" s="436" t="s">
        <v>258</v>
      </c>
      <c r="C27" s="431"/>
      <c r="D27" s="437">
        <f t="shared" ref="D27:J27" si="5">SUM(D5,D14,D18,D23,D24)</f>
        <v>15</v>
      </c>
      <c r="E27" s="437">
        <f t="shared" si="5"/>
        <v>20</v>
      </c>
      <c r="F27" s="432" t="e">
        <f t="shared" si="5"/>
        <v>#REF!</v>
      </c>
      <c r="G27" s="432" t="e">
        <f t="shared" si="5"/>
        <v>#REF!</v>
      </c>
      <c r="H27" s="432" t="e">
        <f t="shared" si="5"/>
        <v>#REF!</v>
      </c>
      <c r="I27" s="432" t="e">
        <f t="shared" si="5"/>
        <v>#REF!</v>
      </c>
      <c r="J27" s="432">
        <f t="shared" si="5"/>
        <v>15</v>
      </c>
      <c r="K27" s="432" t="e">
        <f t="shared" si="1"/>
        <v>#REF!</v>
      </c>
    </row>
    <row r="28" spans="2:13" x14ac:dyDescent="0.15">
      <c r="B28" s="436"/>
      <c r="C28" s="431"/>
      <c r="D28" s="438"/>
      <c r="E28" s="438"/>
      <c r="F28" s="502" t="e">
        <f>F27/($K$27-($D$27+$E$27))</f>
        <v>#REF!</v>
      </c>
      <c r="G28" s="502" t="e">
        <f>G27/($K$27-($D$27+$E$27))</f>
        <v>#REF!</v>
      </c>
      <c r="H28" s="502" t="e">
        <f>H27/($K$27-($D$27+$E$27))</f>
        <v>#REF!</v>
      </c>
      <c r="I28" s="502" t="e">
        <f>I27/($K$27-($D$27+$E$27))</f>
        <v>#REF!</v>
      </c>
      <c r="J28" s="502" t="e">
        <f>J27/($K$27-($D$27+$E$27))</f>
        <v>#REF!</v>
      </c>
      <c r="K28" s="439" t="e">
        <f t="shared" si="1"/>
        <v>#REF!</v>
      </c>
    </row>
    <row r="29" spans="2:13" x14ac:dyDescent="0.15">
      <c r="B29" s="436" t="s">
        <v>118</v>
      </c>
      <c r="C29" s="431"/>
      <c r="D29" s="437">
        <f>様式３!$E$42*D28</f>
        <v>0</v>
      </c>
      <c r="E29" s="437">
        <f>様式３!$E$42*E28</f>
        <v>0</v>
      </c>
      <c r="F29" s="437" t="e">
        <f>様式３!$E$42*F28</f>
        <v>#REF!</v>
      </c>
      <c r="G29" s="437" t="e">
        <f>様式３!$E$42*G28</f>
        <v>#REF!</v>
      </c>
      <c r="H29" s="437" t="e">
        <f>様式３!$E$42*H28</f>
        <v>#REF!</v>
      </c>
      <c r="I29" s="437" t="e">
        <f>様式３!$E$42*I28</f>
        <v>#REF!</v>
      </c>
      <c r="J29" s="437" t="e">
        <f>様式３!$E$42*J28</f>
        <v>#REF!</v>
      </c>
      <c r="K29" s="432" t="e">
        <f t="shared" si="1"/>
        <v>#REF!</v>
      </c>
    </row>
    <row r="30" spans="2:13" ht="14.25" thickBot="1" x14ac:dyDescent="0.2">
      <c r="B30" s="430" t="s">
        <v>22</v>
      </c>
      <c r="C30" s="440"/>
      <c r="D30" s="441"/>
      <c r="E30" s="441"/>
      <c r="F30" s="441" t="e">
        <f>様式３!$E$41*F28</f>
        <v>#REF!</v>
      </c>
      <c r="G30" s="441" t="e">
        <f>様式３!$E$41*G28</f>
        <v>#REF!</v>
      </c>
      <c r="H30" s="441" t="e">
        <f>様式３!$E$41*H28</f>
        <v>#REF!</v>
      </c>
      <c r="I30" s="441" t="e">
        <f>様式３!$E$41*I28</f>
        <v>#REF!</v>
      </c>
      <c r="J30" s="441" t="e">
        <f>様式３!$E$41*J28</f>
        <v>#REF!</v>
      </c>
      <c r="K30" s="442" t="e">
        <f t="shared" si="1"/>
        <v>#REF!</v>
      </c>
    </row>
    <row r="31" spans="2:13" ht="14.25" thickTop="1" x14ac:dyDescent="0.15">
      <c r="B31" s="443" t="s">
        <v>122</v>
      </c>
      <c r="C31" s="444"/>
      <c r="D31" s="445">
        <f t="shared" ref="D31:J31" si="6">SUM(D27,D29:D30)</f>
        <v>15</v>
      </c>
      <c r="E31" s="445">
        <f t="shared" si="6"/>
        <v>20</v>
      </c>
      <c r="F31" s="446" t="e">
        <f t="shared" si="6"/>
        <v>#REF!</v>
      </c>
      <c r="G31" s="446" t="e">
        <f t="shared" si="6"/>
        <v>#REF!</v>
      </c>
      <c r="H31" s="446" t="e">
        <f t="shared" si="6"/>
        <v>#REF!</v>
      </c>
      <c r="I31" s="446" t="e">
        <f t="shared" si="6"/>
        <v>#REF!</v>
      </c>
      <c r="J31" s="446" t="e">
        <f t="shared" si="6"/>
        <v>#REF!</v>
      </c>
      <c r="K31" s="446" t="e">
        <f t="shared" si="1"/>
        <v>#REF!</v>
      </c>
      <c r="M31" s="503" t="e">
        <f>様式３!E43-海年度別!K31</f>
        <v>#REF!</v>
      </c>
    </row>
    <row r="33" spans="2:12" x14ac:dyDescent="0.15">
      <c r="B33" t="s">
        <v>259</v>
      </c>
      <c r="F33" t="s">
        <v>307</v>
      </c>
    </row>
    <row r="34" spans="2:12" x14ac:dyDescent="0.15">
      <c r="B34" t="s">
        <v>303</v>
      </c>
      <c r="F34" t="s">
        <v>311</v>
      </c>
    </row>
    <row r="35" spans="2:12" x14ac:dyDescent="0.15">
      <c r="B35" t="s">
        <v>304</v>
      </c>
      <c r="F35" t="s">
        <v>313</v>
      </c>
    </row>
    <row r="36" spans="2:12" x14ac:dyDescent="0.15">
      <c r="B36" t="s">
        <v>305</v>
      </c>
      <c r="F36" t="s">
        <v>312</v>
      </c>
    </row>
    <row r="37" spans="2:12" x14ac:dyDescent="0.15">
      <c r="B37" s="13" t="s">
        <v>306</v>
      </c>
      <c r="F37" t="s">
        <v>310</v>
      </c>
    </row>
    <row r="39" spans="2:12" x14ac:dyDescent="0.15">
      <c r="B39" t="s">
        <v>318</v>
      </c>
    </row>
    <row r="40" spans="2:12" x14ac:dyDescent="0.15">
      <c r="B40" s="1463" t="s">
        <v>253</v>
      </c>
      <c r="C40" s="1463"/>
      <c r="D40" s="458" t="str">
        <f>D3</f>
        <v>2018(H30)</v>
      </c>
      <c r="E40" s="458" t="str">
        <f t="shared" ref="E40:J40" si="7">E3</f>
        <v>2019(H31)</v>
      </c>
      <c r="F40" s="458">
        <f t="shared" si="7"/>
        <v>2020</v>
      </c>
      <c r="G40" s="458">
        <f t="shared" si="7"/>
        <v>2021</v>
      </c>
      <c r="H40" s="458">
        <f t="shared" si="7"/>
        <v>2022</v>
      </c>
      <c r="I40" s="458">
        <f t="shared" si="7"/>
        <v>2023</v>
      </c>
      <c r="J40" s="458">
        <f t="shared" si="7"/>
        <v>2024</v>
      </c>
      <c r="K40" s="1463" t="s">
        <v>31</v>
      </c>
    </row>
    <row r="41" spans="2:12" ht="23.25" thickBot="1" x14ac:dyDescent="0.2">
      <c r="B41" s="1464" t="s">
        <v>254</v>
      </c>
      <c r="C41" s="1464"/>
      <c r="D41" s="457" t="str">
        <f>D4</f>
        <v>～事業協力者選定・都市計画原案</v>
      </c>
      <c r="E41" s="457" t="str">
        <f t="shared" ref="E41:J41" si="8">E4</f>
        <v>～都市計画決定</v>
      </c>
      <c r="F41" s="457" t="str">
        <f t="shared" si="8"/>
        <v>～組合設立</v>
      </c>
      <c r="G41" s="457" t="str">
        <f t="shared" si="8"/>
        <v>～権変認可</v>
      </c>
      <c r="H41" s="457" t="str">
        <f t="shared" si="8"/>
        <v>除却～
工事着工</v>
      </c>
      <c r="I41" s="457" t="str">
        <f t="shared" si="8"/>
        <v>工事～
竣工</v>
      </c>
      <c r="J41" s="457" t="str">
        <f t="shared" si="8"/>
        <v>精算</v>
      </c>
      <c r="K41" s="1464"/>
    </row>
    <row r="42" spans="2:12" ht="14.25" thickTop="1" x14ac:dyDescent="0.15">
      <c r="B42" s="420" t="s">
        <v>278</v>
      </c>
      <c r="C42" s="421"/>
      <c r="D42" s="422">
        <f t="shared" ref="D42:J42" si="9">SUM(D43:D48)</f>
        <v>0</v>
      </c>
      <c r="E42" s="422">
        <f t="shared" si="9"/>
        <v>0</v>
      </c>
      <c r="F42" s="422">
        <f t="shared" si="9"/>
        <v>0</v>
      </c>
      <c r="G42" s="422">
        <f t="shared" si="9"/>
        <v>0</v>
      </c>
      <c r="H42" s="422">
        <f t="shared" si="9"/>
        <v>0</v>
      </c>
      <c r="I42" s="422">
        <f t="shared" si="9"/>
        <v>0</v>
      </c>
      <c r="J42" s="422">
        <f t="shared" si="9"/>
        <v>0</v>
      </c>
      <c r="K42" s="422">
        <f>SUM(D42:J42)</f>
        <v>0</v>
      </c>
    </row>
    <row r="43" spans="2:12" x14ac:dyDescent="0.15">
      <c r="B43" s="420"/>
      <c r="C43" s="423" t="s">
        <v>269</v>
      </c>
      <c r="D43" s="424"/>
      <c r="E43" s="424"/>
      <c r="F43" s="424">
        <f>様式３!K5</f>
        <v>0</v>
      </c>
      <c r="G43" s="424"/>
      <c r="H43" s="424"/>
      <c r="I43" s="424"/>
      <c r="J43" s="424"/>
      <c r="K43" s="424">
        <f t="shared" ref="K43:K58" si="10">SUM(D43:J43)</f>
        <v>0</v>
      </c>
      <c r="L43" s="453"/>
    </row>
    <row r="44" spans="2:12" x14ac:dyDescent="0.15">
      <c r="B44" s="420"/>
      <c r="C44" s="425" t="s">
        <v>270</v>
      </c>
      <c r="D44" s="426"/>
      <c r="E44" s="426"/>
      <c r="F44" s="426">
        <f>様式３!K6</f>
        <v>0</v>
      </c>
      <c r="G44" s="426"/>
      <c r="H44" s="426"/>
      <c r="I44" s="426"/>
      <c r="J44" s="426"/>
      <c r="K44" s="426">
        <f t="shared" si="10"/>
        <v>0</v>
      </c>
    </row>
    <row r="45" spans="2:12" x14ac:dyDescent="0.15">
      <c r="B45" s="420"/>
      <c r="C45" s="425" t="s">
        <v>271</v>
      </c>
      <c r="D45" s="426"/>
      <c r="E45" s="426"/>
      <c r="F45" s="426">
        <f>様式３!K7</f>
        <v>0</v>
      </c>
      <c r="G45" s="426"/>
      <c r="H45" s="426"/>
      <c r="I45" s="426"/>
      <c r="J45" s="426"/>
      <c r="K45" s="426">
        <f t="shared" si="10"/>
        <v>0</v>
      </c>
    </row>
    <row r="46" spans="2:12" x14ac:dyDescent="0.15">
      <c r="B46" s="420"/>
      <c r="C46" s="425" t="s">
        <v>272</v>
      </c>
      <c r="D46" s="426"/>
      <c r="E46" s="426"/>
      <c r="F46" s="426"/>
      <c r="G46" s="426">
        <f>様式３!K8*0.8</f>
        <v>0</v>
      </c>
      <c r="H46" s="426">
        <f>様式３!K8*0.2*0.5</f>
        <v>0</v>
      </c>
      <c r="I46" s="426">
        <f>様式３!K8*0.2*0.5</f>
        <v>0</v>
      </c>
      <c r="J46" s="426"/>
      <c r="K46" s="426">
        <f t="shared" si="10"/>
        <v>0</v>
      </c>
    </row>
    <row r="47" spans="2:12" x14ac:dyDescent="0.15">
      <c r="B47" s="420"/>
      <c r="C47" s="425" t="s">
        <v>286</v>
      </c>
      <c r="D47" s="426"/>
      <c r="E47" s="426"/>
      <c r="F47" s="426"/>
      <c r="G47" s="426"/>
      <c r="H47" s="426">
        <f>様式３!K9*0.5</f>
        <v>0</v>
      </c>
      <c r="I47" s="426">
        <f>様式３!K9*0.5</f>
        <v>0</v>
      </c>
      <c r="J47" s="426"/>
      <c r="K47" s="426">
        <f t="shared" si="10"/>
        <v>0</v>
      </c>
    </row>
    <row r="48" spans="2:12" x14ac:dyDescent="0.15">
      <c r="B48" s="420"/>
      <c r="C48" s="425" t="s">
        <v>273</v>
      </c>
      <c r="D48" s="426"/>
      <c r="E48" s="426"/>
      <c r="F48" s="426"/>
      <c r="G48" s="426">
        <f>様式３!K10*0.8</f>
        <v>0</v>
      </c>
      <c r="H48" s="426"/>
      <c r="I48" s="426">
        <f>様式３!K10*0.2</f>
        <v>0</v>
      </c>
      <c r="J48" s="426"/>
      <c r="K48" s="426">
        <f t="shared" si="10"/>
        <v>0</v>
      </c>
    </row>
    <row r="49" spans="2:11" x14ac:dyDescent="0.15">
      <c r="B49" s="430" t="s">
        <v>279</v>
      </c>
      <c r="C49" s="431"/>
      <c r="D49" s="432">
        <f t="shared" ref="D49:J49" si="11">SUM(D50:D51)</f>
        <v>0</v>
      </c>
      <c r="E49" s="432">
        <f t="shared" si="11"/>
        <v>0</v>
      </c>
      <c r="F49" s="432">
        <f t="shared" si="11"/>
        <v>0</v>
      </c>
      <c r="G49" s="432">
        <f t="shared" si="11"/>
        <v>0</v>
      </c>
      <c r="H49" s="432">
        <f t="shared" si="11"/>
        <v>0</v>
      </c>
      <c r="I49" s="432">
        <f t="shared" si="11"/>
        <v>0</v>
      </c>
      <c r="J49" s="432">
        <f t="shared" si="11"/>
        <v>0</v>
      </c>
      <c r="K49" s="432">
        <f t="shared" si="10"/>
        <v>0</v>
      </c>
    </row>
    <row r="50" spans="2:11" x14ac:dyDescent="0.15">
      <c r="B50" s="420"/>
      <c r="C50" s="423" t="s">
        <v>498</v>
      </c>
      <c r="D50" s="424"/>
      <c r="E50" s="424"/>
      <c r="F50" s="424"/>
      <c r="G50" s="424"/>
      <c r="H50" s="424">
        <f>SUM(様式３!K13:K13)</f>
        <v>0</v>
      </c>
      <c r="I50" s="424"/>
      <c r="J50" s="424"/>
      <c r="K50" s="424">
        <f t="shared" si="10"/>
        <v>0</v>
      </c>
    </row>
    <row r="51" spans="2:11" x14ac:dyDescent="0.15">
      <c r="B51" s="427"/>
      <c r="C51" s="428" t="s">
        <v>275</v>
      </c>
      <c r="D51" s="429"/>
      <c r="E51" s="429"/>
      <c r="F51" s="429"/>
      <c r="G51" s="429"/>
      <c r="H51" s="429">
        <f>様式３!K14</f>
        <v>0</v>
      </c>
      <c r="I51" s="429"/>
      <c r="J51" s="429"/>
      <c r="K51" s="429">
        <f t="shared" si="10"/>
        <v>0</v>
      </c>
    </row>
    <row r="52" spans="2:11" x14ac:dyDescent="0.15">
      <c r="B52" s="430" t="s">
        <v>280</v>
      </c>
      <c r="C52" s="431"/>
      <c r="D52" s="432">
        <f t="shared" ref="D52:J52" si="12">SUM(D53:D55)</f>
        <v>0</v>
      </c>
      <c r="E52" s="432">
        <f t="shared" si="12"/>
        <v>0</v>
      </c>
      <c r="F52" s="432">
        <f t="shared" si="12"/>
        <v>0</v>
      </c>
      <c r="G52" s="432">
        <f t="shared" si="12"/>
        <v>0</v>
      </c>
      <c r="H52" s="432">
        <f t="shared" si="12"/>
        <v>0</v>
      </c>
      <c r="I52" s="432">
        <f t="shared" si="12"/>
        <v>0</v>
      </c>
      <c r="J52" s="432">
        <f t="shared" si="12"/>
        <v>0</v>
      </c>
      <c r="K52" s="432">
        <f t="shared" si="10"/>
        <v>0</v>
      </c>
    </row>
    <row r="53" spans="2:11" x14ac:dyDescent="0.15">
      <c r="B53" s="420"/>
      <c r="C53" s="423" t="s">
        <v>276</v>
      </c>
      <c r="D53" s="433"/>
      <c r="E53" s="433"/>
      <c r="F53" s="433"/>
      <c r="G53" s="424">
        <f>様式３!K19</f>
        <v>0</v>
      </c>
      <c r="H53" s="424"/>
      <c r="I53" s="424"/>
      <c r="J53" s="424"/>
      <c r="K53" s="424">
        <f t="shared" si="10"/>
        <v>0</v>
      </c>
    </row>
    <row r="54" spans="2:11" x14ac:dyDescent="0.15">
      <c r="B54" s="420"/>
      <c r="C54" s="425" t="s">
        <v>499</v>
      </c>
      <c r="D54" s="434"/>
      <c r="E54" s="434"/>
      <c r="F54" s="434"/>
      <c r="G54" s="426"/>
      <c r="H54" s="426">
        <f>様式３!K18*0.3</f>
        <v>0</v>
      </c>
      <c r="I54" s="426">
        <f>様式３!K18*0.7</f>
        <v>0</v>
      </c>
      <c r="J54" s="426"/>
      <c r="K54" s="426">
        <f t="shared" si="10"/>
        <v>0</v>
      </c>
    </row>
    <row r="55" spans="2:11" x14ac:dyDescent="0.15">
      <c r="B55" s="420"/>
      <c r="C55" s="425" t="str">
        <f>C21</f>
        <v>通損補償</v>
      </c>
      <c r="D55" s="434"/>
      <c r="E55" s="434"/>
      <c r="F55" s="434"/>
      <c r="G55" s="426">
        <f>SUM(様式３!K20:K20)</f>
        <v>0</v>
      </c>
      <c r="H55" s="426"/>
      <c r="I55" s="426"/>
      <c r="J55" s="426"/>
      <c r="K55" s="426">
        <f t="shared" si="10"/>
        <v>0</v>
      </c>
    </row>
    <row r="56" spans="2:11" ht="14.25" thickBot="1" x14ac:dyDescent="0.2">
      <c r="B56" s="430" t="s">
        <v>500</v>
      </c>
      <c r="C56" s="431"/>
      <c r="D56" s="437">
        <v>0</v>
      </c>
      <c r="E56" s="437">
        <v>0</v>
      </c>
      <c r="F56" s="437">
        <v>0</v>
      </c>
      <c r="G56" s="437">
        <v>0</v>
      </c>
      <c r="H56" s="437">
        <f>SUM(様式３!K22:K31)*0.3</f>
        <v>0</v>
      </c>
      <c r="I56" s="437">
        <f>SUM(様式３!K22:K31)*0.7</f>
        <v>0</v>
      </c>
      <c r="J56" s="437">
        <f>SUM(様式３!L22:L31)*0.7</f>
        <v>0.33599999999999997</v>
      </c>
      <c r="K56" s="432">
        <f t="shared" si="10"/>
        <v>0.33599999999999997</v>
      </c>
    </row>
    <row r="57" spans="2:11" ht="14.25" hidden="1" thickBot="1" x14ac:dyDescent="0.2">
      <c r="B57" s="1461" t="s">
        <v>285</v>
      </c>
      <c r="C57" s="1462"/>
      <c r="D57" s="449">
        <v>0</v>
      </c>
      <c r="E57" s="449">
        <v>0</v>
      </c>
      <c r="F57" s="449"/>
      <c r="G57" s="449"/>
      <c r="H57" s="449"/>
      <c r="I57" s="449"/>
      <c r="J57" s="449"/>
      <c r="K57" s="422">
        <f t="shared" si="10"/>
        <v>0</v>
      </c>
    </row>
    <row r="58" spans="2:11" ht="14.25" thickTop="1" x14ac:dyDescent="0.15">
      <c r="B58" s="443" t="s">
        <v>122</v>
      </c>
      <c r="C58" s="444"/>
      <c r="D58" s="445">
        <f t="shared" ref="D58:I58" si="13">SUM(D42,D49,D52,D56,D57)</f>
        <v>0</v>
      </c>
      <c r="E58" s="445">
        <f t="shared" si="13"/>
        <v>0</v>
      </c>
      <c r="F58" s="445">
        <f t="shared" si="13"/>
        <v>0</v>
      </c>
      <c r="G58" s="445">
        <f t="shared" si="13"/>
        <v>0</v>
      </c>
      <c r="H58" s="445">
        <f t="shared" si="13"/>
        <v>0</v>
      </c>
      <c r="I58" s="445">
        <f t="shared" si="13"/>
        <v>0</v>
      </c>
      <c r="J58" s="445">
        <f>SUM(J42,J49,J52,J56,J57)</f>
        <v>0.33599999999999997</v>
      </c>
      <c r="K58" s="446">
        <f t="shared" si="10"/>
        <v>0.33599999999999997</v>
      </c>
    </row>
    <row r="59" spans="2:11" x14ac:dyDescent="0.15">
      <c r="B59" s="463"/>
      <c r="C59" s="463"/>
      <c r="D59" s="460"/>
      <c r="E59" s="460"/>
      <c r="F59" s="460"/>
      <c r="G59" s="460"/>
      <c r="H59" s="460"/>
      <c r="I59" s="460"/>
      <c r="J59" s="460"/>
      <c r="K59" s="460"/>
    </row>
    <row r="60" spans="2:11" x14ac:dyDescent="0.15">
      <c r="B60" s="464"/>
      <c r="C60" s="464"/>
      <c r="D60" s="461"/>
      <c r="E60" s="461"/>
      <c r="F60" s="461"/>
      <c r="G60" s="461"/>
      <c r="H60" s="461"/>
      <c r="I60" s="461"/>
      <c r="J60" s="461"/>
      <c r="K60" s="461"/>
    </row>
    <row r="61" spans="2:11" x14ac:dyDescent="0.15">
      <c r="B61" s="464" t="s">
        <v>315</v>
      </c>
      <c r="C61" s="464"/>
      <c r="D61" s="461"/>
      <c r="E61" s="461"/>
      <c r="F61" s="461"/>
      <c r="G61" s="461"/>
      <c r="H61" s="461"/>
      <c r="I61" s="461"/>
      <c r="J61" s="461"/>
      <c r="K61" s="461"/>
    </row>
    <row r="62" spans="2:11" x14ac:dyDescent="0.15">
      <c r="B62" s="469" t="s">
        <v>316</v>
      </c>
      <c r="C62" s="431"/>
      <c r="D62" s="437">
        <f>D31</f>
        <v>15</v>
      </c>
      <c r="E62" s="437">
        <f t="shared" ref="E62:J62" si="14">E31</f>
        <v>20</v>
      </c>
      <c r="F62" s="437" t="e">
        <f t="shared" si="14"/>
        <v>#REF!</v>
      </c>
      <c r="G62" s="437" t="e">
        <f t="shared" si="14"/>
        <v>#REF!</v>
      </c>
      <c r="H62" s="437" t="e">
        <f t="shared" si="14"/>
        <v>#REF!</v>
      </c>
      <c r="I62" s="437" t="e">
        <f t="shared" si="14"/>
        <v>#REF!</v>
      </c>
      <c r="J62" s="437" t="e">
        <f t="shared" si="14"/>
        <v>#REF!</v>
      </c>
      <c r="K62" s="432" t="e">
        <f>SUM(D62:J62)</f>
        <v>#REF!</v>
      </c>
    </row>
    <row r="63" spans="2:11" x14ac:dyDescent="0.15">
      <c r="B63" s="469" t="s">
        <v>317</v>
      </c>
      <c r="C63" s="431"/>
      <c r="D63" s="437">
        <f>D58</f>
        <v>0</v>
      </c>
      <c r="E63" s="437">
        <f t="shared" ref="E63:J63" si="15">E58</f>
        <v>0</v>
      </c>
      <c r="F63" s="437">
        <f t="shared" si="15"/>
        <v>0</v>
      </c>
      <c r="G63" s="437">
        <f t="shared" si="15"/>
        <v>0</v>
      </c>
      <c r="H63" s="437">
        <f t="shared" si="15"/>
        <v>0</v>
      </c>
      <c r="I63" s="437">
        <f t="shared" si="15"/>
        <v>0</v>
      </c>
      <c r="J63" s="437">
        <f t="shared" si="15"/>
        <v>0.33599999999999997</v>
      </c>
      <c r="K63" s="432">
        <f>SUM(D63:J63)</f>
        <v>0.33599999999999997</v>
      </c>
    </row>
    <row r="64" spans="2:11" x14ac:dyDescent="0.15">
      <c r="B64" s="504" t="s">
        <v>319</v>
      </c>
      <c r="C64" s="431"/>
      <c r="D64" s="437">
        <f>D62-D63</f>
        <v>15</v>
      </c>
      <c r="E64" s="437">
        <f t="shared" ref="E64:J64" si="16">E62-E63</f>
        <v>20</v>
      </c>
      <c r="F64" s="437" t="e">
        <f t="shared" si="16"/>
        <v>#REF!</v>
      </c>
      <c r="G64" s="437" t="e">
        <f t="shared" si="16"/>
        <v>#REF!</v>
      </c>
      <c r="H64" s="437" t="e">
        <f t="shared" si="16"/>
        <v>#REF!</v>
      </c>
      <c r="I64" s="437" t="e">
        <f t="shared" si="16"/>
        <v>#REF!</v>
      </c>
      <c r="J64" s="437" t="e">
        <f t="shared" si="16"/>
        <v>#REF!</v>
      </c>
      <c r="K64" s="432" t="e">
        <f>SUM(D64:J64)</f>
        <v>#REF!</v>
      </c>
    </row>
    <row r="65" spans="2:13" x14ac:dyDescent="0.15">
      <c r="B65" s="505"/>
      <c r="C65" s="507" t="s">
        <v>320</v>
      </c>
      <c r="D65" s="508">
        <f>D64</f>
        <v>15</v>
      </c>
      <c r="E65" s="508">
        <f>E64</f>
        <v>20</v>
      </c>
      <c r="F65" s="508" t="e">
        <f>F64</f>
        <v>#REF!</v>
      </c>
      <c r="G65" s="511" t="s">
        <v>324</v>
      </c>
      <c r="H65" s="511" t="s">
        <v>324</v>
      </c>
      <c r="I65" s="511" t="s">
        <v>325</v>
      </c>
      <c r="J65" s="511" t="s">
        <v>324</v>
      </c>
      <c r="K65" s="508" t="e">
        <f>SUM(D65:J65)</f>
        <v>#REF!</v>
      </c>
    </row>
    <row r="66" spans="2:13" x14ac:dyDescent="0.15">
      <c r="B66" s="506"/>
      <c r="C66" s="509" t="s">
        <v>321</v>
      </c>
      <c r="D66" s="512" t="s">
        <v>323</v>
      </c>
      <c r="E66" s="512" t="s">
        <v>323</v>
      </c>
      <c r="F66" s="512" t="s">
        <v>323</v>
      </c>
      <c r="G66" s="510" t="e">
        <f>G64</f>
        <v>#REF!</v>
      </c>
      <c r="H66" s="510" t="e">
        <f>H64</f>
        <v>#REF!</v>
      </c>
      <c r="I66" s="510" t="e">
        <f>I64</f>
        <v>#REF!</v>
      </c>
      <c r="J66" s="510" t="e">
        <f>J64</f>
        <v>#REF!</v>
      </c>
      <c r="K66" s="510" t="e">
        <f>SUM(D66:J66)</f>
        <v>#REF!</v>
      </c>
    </row>
    <row r="67" spans="2:13" x14ac:dyDescent="0.15">
      <c r="B67" s="464"/>
      <c r="C67" s="463" t="s">
        <v>322</v>
      </c>
      <c r="D67" s="461"/>
      <c r="E67" s="460"/>
      <c r="F67" s="460"/>
      <c r="G67" s="460"/>
      <c r="H67" s="460"/>
      <c r="I67" s="460"/>
      <c r="J67" s="460"/>
      <c r="K67" s="460"/>
    </row>
    <row r="68" spans="2:13" x14ac:dyDescent="0.15">
      <c r="B68" s="464"/>
      <c r="C68" s="464"/>
      <c r="D68" s="461"/>
      <c r="E68" s="461"/>
      <c r="F68" s="461"/>
      <c r="G68" s="461"/>
      <c r="H68" s="461"/>
      <c r="I68" s="461"/>
      <c r="J68" s="461"/>
      <c r="K68" s="461"/>
    </row>
    <row r="69" spans="2:13" x14ac:dyDescent="0.15">
      <c r="B69" s="465"/>
      <c r="C69" s="465"/>
      <c r="D69" s="458" t="s">
        <v>326</v>
      </c>
      <c r="E69" s="462"/>
      <c r="F69" s="462"/>
      <c r="G69" s="462"/>
      <c r="H69" s="462"/>
      <c r="I69" s="462"/>
      <c r="J69" s="462"/>
      <c r="K69" s="462"/>
    </row>
    <row r="70" spans="2:13" x14ac:dyDescent="0.15">
      <c r="B70" s="1458" t="s">
        <v>284</v>
      </c>
      <c r="C70" s="447" t="s">
        <v>260</v>
      </c>
      <c r="D70" s="433">
        <v>10</v>
      </c>
      <c r="E70" s="424"/>
      <c r="F70" s="424">
        <f>F58*0.5</f>
        <v>0</v>
      </c>
      <c r="G70" s="424">
        <f>G58*0.5</f>
        <v>0</v>
      </c>
      <c r="H70" s="424">
        <f>H58*0.5</f>
        <v>0</v>
      </c>
      <c r="I70" s="424">
        <f>I58*0.5</f>
        <v>0</v>
      </c>
      <c r="J70" s="433"/>
      <c r="K70" s="433">
        <f>SUM(D70:J70)</f>
        <v>10</v>
      </c>
      <c r="L70" s="453"/>
    </row>
    <row r="71" spans="2:13" x14ac:dyDescent="0.15">
      <c r="B71" s="1459"/>
      <c r="C71" s="448" t="s">
        <v>261</v>
      </c>
      <c r="D71" s="497" t="s">
        <v>74</v>
      </c>
      <c r="E71" s="426"/>
      <c r="F71" s="426">
        <f>F58*0.1</f>
        <v>0</v>
      </c>
      <c r="G71" s="426">
        <f>G58*0.1</f>
        <v>0</v>
      </c>
      <c r="H71" s="426">
        <f>H58*0.1</f>
        <v>0</v>
      </c>
      <c r="I71" s="426">
        <f>I58*0.1</f>
        <v>0</v>
      </c>
      <c r="J71" s="434"/>
      <c r="K71" s="434">
        <f>SUM(D71:J71)</f>
        <v>0</v>
      </c>
    </row>
    <row r="72" spans="2:13" x14ac:dyDescent="0.15">
      <c r="B72" s="1460"/>
      <c r="C72" s="449" t="s">
        <v>262</v>
      </c>
      <c r="D72" s="498">
        <v>10</v>
      </c>
      <c r="E72" s="450"/>
      <c r="F72" s="450">
        <f>F58*0.4</f>
        <v>0</v>
      </c>
      <c r="G72" s="450">
        <f>G58*0.4</f>
        <v>0</v>
      </c>
      <c r="H72" s="450">
        <f>H58*0.4</f>
        <v>0</v>
      </c>
      <c r="I72" s="450">
        <f>I58*0.4</f>
        <v>0</v>
      </c>
      <c r="J72" s="498"/>
      <c r="K72" s="498">
        <f>SUM(D72:J72)</f>
        <v>10</v>
      </c>
      <c r="M72" s="452"/>
    </row>
    <row r="73" spans="2:13" x14ac:dyDescent="0.15">
      <c r="B73" s="513"/>
      <c r="C73" s="451"/>
      <c r="D73" s="451" t="s">
        <v>327</v>
      </c>
      <c r="E73" s="451"/>
      <c r="F73" s="451"/>
      <c r="G73" s="451"/>
      <c r="I73" s="451"/>
      <c r="J73" s="451"/>
      <c r="K73" s="451"/>
    </row>
    <row r="75" spans="2:13" x14ac:dyDescent="0.15">
      <c r="B75" t="s">
        <v>263</v>
      </c>
    </row>
    <row r="76" spans="2:13" x14ac:dyDescent="0.15">
      <c r="B76" t="s">
        <v>264</v>
      </c>
    </row>
    <row r="77" spans="2:13" x14ac:dyDescent="0.15">
      <c r="B77" t="s">
        <v>265</v>
      </c>
    </row>
  </sheetData>
  <mergeCells count="8">
    <mergeCell ref="B70:B72"/>
    <mergeCell ref="B57:C57"/>
    <mergeCell ref="B3:C3"/>
    <mergeCell ref="K3:K4"/>
    <mergeCell ref="B4:C4"/>
    <mergeCell ref="B40:C40"/>
    <mergeCell ref="K40:K41"/>
    <mergeCell ref="B41:C41"/>
  </mergeCells>
  <phoneticPr fontId="2"/>
  <pageMargins left="0.7" right="0.7" top="0.75" bottom="0.75" header="0.3" footer="0.3"/>
  <pageSetup paperSize="8"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N131"/>
  <sheetViews>
    <sheetView workbookViewId="0"/>
  </sheetViews>
  <sheetFormatPr defaultRowHeight="13.5" x14ac:dyDescent="0.15"/>
  <cols>
    <col min="4" max="13" width="9" customWidth="1"/>
    <col min="14" max="19" width="8.75" customWidth="1"/>
    <col min="20" max="20" width="4.75" customWidth="1"/>
    <col min="21" max="25" width="8.75" customWidth="1"/>
    <col min="26" max="29" width="9.125" customWidth="1"/>
    <col min="31" max="31" width="9" customWidth="1"/>
    <col min="39" max="39" width="9" customWidth="1"/>
    <col min="57" max="57" width="9" customWidth="1"/>
  </cols>
  <sheetData>
    <row r="1" spans="1:35" ht="12.75" customHeight="1" x14ac:dyDescent="0.15">
      <c r="B1" s="959" t="s">
        <v>452</v>
      </c>
      <c r="C1" s="959"/>
      <c r="D1" s="959"/>
      <c r="E1" s="959"/>
      <c r="F1" s="959"/>
      <c r="G1" s="959"/>
      <c r="H1" s="959"/>
      <c r="I1" s="959"/>
      <c r="J1" s="959"/>
      <c r="K1" s="959"/>
      <c r="L1" s="960" t="s">
        <v>221</v>
      </c>
      <c r="M1" s="960"/>
      <c r="N1" s="958" t="e">
        <f>#REF!</f>
        <v>#REF!</v>
      </c>
      <c r="O1" s="958"/>
      <c r="P1" s="958" t="e">
        <f>#REF!</f>
        <v>#REF!</v>
      </c>
      <c r="Q1" s="958"/>
      <c r="R1" s="958" t="e">
        <f>#REF!</f>
        <v>#REF!</v>
      </c>
      <c r="S1" s="958"/>
      <c r="T1" s="958"/>
      <c r="U1" s="958"/>
      <c r="V1" s="542"/>
      <c r="W1" s="955">
        <f ca="1">TODAY()</f>
        <v>45398</v>
      </c>
      <c r="X1" s="955"/>
      <c r="Y1" s="955"/>
      <c r="AA1" s="29"/>
    </row>
    <row r="2" spans="1:35" ht="12.75" customHeight="1" x14ac:dyDescent="0.15">
      <c r="B2" s="959"/>
      <c r="C2" s="959"/>
      <c r="D2" s="959"/>
      <c r="E2" s="959"/>
      <c r="F2" s="959"/>
      <c r="G2" s="959"/>
      <c r="H2" s="959"/>
      <c r="I2" s="959"/>
      <c r="J2" s="959"/>
      <c r="K2" s="959"/>
      <c r="L2" s="956" t="e">
        <f>#REF!</f>
        <v>#REF!</v>
      </c>
      <c r="M2" s="956"/>
      <c r="N2" s="957" t="e">
        <f>#REF!</f>
        <v>#REF!</v>
      </c>
      <c r="O2" s="957"/>
      <c r="P2" s="957" t="e">
        <f>#REF!</f>
        <v>#REF!</v>
      </c>
      <c r="Q2" s="957"/>
      <c r="R2" s="957" t="e">
        <f>#REF!</f>
        <v>#REF!</v>
      </c>
      <c r="S2" s="957"/>
      <c r="T2" s="958"/>
      <c r="U2" s="958"/>
      <c r="V2" s="542"/>
      <c r="W2" s="543"/>
      <c r="X2" s="543"/>
      <c r="Y2" s="543"/>
      <c r="AA2" s="29"/>
    </row>
    <row r="3" spans="1:35" s="390" customFormat="1" ht="12.75" customHeight="1" x14ac:dyDescent="0.15">
      <c r="B3" s="787"/>
      <c r="C3" s="787"/>
      <c r="D3" s="787"/>
      <c r="E3" s="787"/>
      <c r="F3" s="787"/>
      <c r="G3" s="787"/>
      <c r="H3" s="787"/>
      <c r="I3" s="787"/>
      <c r="J3" s="787"/>
      <c r="K3" s="787"/>
      <c r="L3" s="788"/>
      <c r="M3" s="788"/>
      <c r="N3" s="789"/>
      <c r="O3" s="789"/>
      <c r="P3" s="789"/>
      <c r="Q3" s="789"/>
      <c r="R3" s="789"/>
      <c r="S3" s="789"/>
      <c r="T3" s="790"/>
      <c r="U3" s="790"/>
      <c r="V3" s="791"/>
      <c r="W3" s="792"/>
      <c r="X3" s="792"/>
      <c r="Y3" s="792"/>
      <c r="AA3" s="393"/>
    </row>
    <row r="4" spans="1:35" ht="13.5" customHeight="1" x14ac:dyDescent="0.15">
      <c r="B4" s="393"/>
      <c r="C4" s="393"/>
      <c r="D4" s="393"/>
      <c r="E4" s="393"/>
      <c r="F4" s="393"/>
      <c r="G4" s="393"/>
      <c r="H4" s="393"/>
      <c r="I4" s="393"/>
      <c r="J4" s="393"/>
      <c r="K4" s="393"/>
      <c r="L4" s="393"/>
      <c r="M4" s="393"/>
      <c r="N4" s="393"/>
      <c r="O4" s="393"/>
      <c r="P4" s="393"/>
      <c r="Q4" s="393"/>
      <c r="R4" s="393"/>
      <c r="S4" s="393"/>
      <c r="T4" s="393"/>
      <c r="U4" s="393"/>
      <c r="V4" s="393"/>
      <c r="W4" s="393"/>
      <c r="X4" s="393"/>
      <c r="Y4" s="393"/>
      <c r="Z4" s="29"/>
      <c r="AA4" s="29"/>
    </row>
    <row r="5" spans="1:35" ht="13.5" customHeight="1" thickBot="1" x14ac:dyDescent="0.2">
      <c r="A5" s="390"/>
      <c r="B5" s="402" t="s">
        <v>297</v>
      </c>
      <c r="C5" s="393"/>
      <c r="D5" s="393"/>
      <c r="E5" s="393"/>
      <c r="F5" s="393"/>
      <c r="G5" s="393"/>
      <c r="H5" s="393"/>
      <c r="I5" s="393"/>
      <c r="J5" s="393"/>
      <c r="K5" s="393"/>
      <c r="L5" s="393"/>
      <c r="M5" s="390" t="s">
        <v>294</v>
      </c>
      <c r="N5" s="393"/>
      <c r="O5" s="390"/>
      <c r="P5" s="390"/>
      <c r="Q5" s="390"/>
      <c r="R5" s="390"/>
      <c r="S5" s="390"/>
      <c r="T5" s="390"/>
      <c r="U5" s="390"/>
      <c r="V5" s="390"/>
      <c r="W5" s="390"/>
      <c r="X5" s="390"/>
      <c r="Y5" s="393"/>
      <c r="Z5" s="393"/>
      <c r="AA5" s="29"/>
    </row>
    <row r="6" spans="1:35" ht="13.5" customHeight="1" x14ac:dyDescent="0.15">
      <c r="A6" s="390"/>
      <c r="B6" s="967" t="s">
        <v>84</v>
      </c>
      <c r="C6" s="968"/>
      <c r="D6" s="971" t="s">
        <v>85</v>
      </c>
      <c r="E6" s="972"/>
      <c r="F6" s="972"/>
      <c r="G6" s="973"/>
      <c r="H6" s="974" t="s">
        <v>86</v>
      </c>
      <c r="I6" s="975"/>
      <c r="J6" s="393"/>
      <c r="K6" s="401"/>
      <c r="L6" s="401"/>
      <c r="M6" s="411"/>
      <c r="N6" s="398"/>
      <c r="O6" s="398"/>
      <c r="P6" s="398"/>
      <c r="Q6" s="400"/>
      <c r="R6" s="400"/>
      <c r="S6" s="400"/>
      <c r="T6" s="398"/>
      <c r="U6" s="398"/>
      <c r="V6" s="398"/>
      <c r="W6" s="398"/>
      <c r="X6" s="398"/>
      <c r="Y6" s="396"/>
      <c r="Z6" s="393"/>
      <c r="AA6" s="29"/>
    </row>
    <row r="7" spans="1:35" ht="13.5" customHeight="1" thickBot="1" x14ac:dyDescent="0.2">
      <c r="A7" s="390"/>
      <c r="B7" s="969"/>
      <c r="C7" s="970"/>
      <c r="D7" s="978" t="s">
        <v>64</v>
      </c>
      <c r="E7" s="979"/>
      <c r="F7" s="978" t="s">
        <v>30</v>
      </c>
      <c r="G7" s="979"/>
      <c r="H7" s="976"/>
      <c r="I7" s="977"/>
      <c r="J7" s="393"/>
      <c r="K7" s="401"/>
      <c r="L7" s="401"/>
      <c r="M7" s="399"/>
      <c r="N7" s="390"/>
      <c r="O7" s="390"/>
      <c r="P7" s="390"/>
      <c r="Q7" s="390"/>
      <c r="R7" s="390"/>
      <c r="S7" s="390"/>
      <c r="T7" s="390"/>
      <c r="U7" s="390"/>
      <c r="V7" s="390"/>
      <c r="W7" s="390"/>
      <c r="X7" s="390"/>
      <c r="Y7" s="391"/>
      <c r="Z7" s="393"/>
      <c r="AA7" s="29"/>
    </row>
    <row r="8" spans="1:35" ht="13.5" customHeight="1" thickTop="1" x14ac:dyDescent="0.15">
      <c r="A8" s="390"/>
      <c r="B8" s="980" t="e">
        <f>#REF!</f>
        <v>#REF!</v>
      </c>
      <c r="C8" s="981"/>
      <c r="D8" s="982" t="e">
        <f>#REF!</f>
        <v>#REF!</v>
      </c>
      <c r="E8" s="983"/>
      <c r="F8" s="982" t="e">
        <f>D8*0.3025</f>
        <v>#REF!</v>
      </c>
      <c r="G8" s="983"/>
      <c r="H8" s="984"/>
      <c r="I8" s="985"/>
      <c r="J8" s="393"/>
      <c r="K8" s="402"/>
      <c r="L8" s="402"/>
      <c r="M8" s="399"/>
      <c r="N8" s="390"/>
      <c r="O8" s="390"/>
      <c r="P8" s="390"/>
      <c r="Q8" s="390" t="s">
        <v>94</v>
      </c>
      <c r="R8" s="412">
        <f>D26/100</f>
        <v>0</v>
      </c>
      <c r="S8" s="390"/>
      <c r="T8" s="390" t="s">
        <v>95</v>
      </c>
      <c r="U8" s="412" t="e">
        <f>H26/100</f>
        <v>#REF!</v>
      </c>
      <c r="V8" s="390"/>
      <c r="W8" s="390" t="s">
        <v>223</v>
      </c>
      <c r="X8" s="412" t="e">
        <f>AI8</f>
        <v>#REF!</v>
      </c>
      <c r="Y8" s="391"/>
      <c r="Z8" s="393"/>
      <c r="AA8" s="29"/>
      <c r="AB8" s="29"/>
      <c r="AD8" t="s">
        <v>94</v>
      </c>
      <c r="AE8" s="405">
        <f>D26/100</f>
        <v>0</v>
      </c>
      <c r="AF8" t="s">
        <v>95</v>
      </c>
      <c r="AG8" s="405" t="e">
        <f>H26/100</f>
        <v>#REF!</v>
      </c>
      <c r="AH8" t="s">
        <v>223</v>
      </c>
      <c r="AI8" s="405" t="e">
        <f>B32/100</f>
        <v>#REF!</v>
      </c>
    </row>
    <row r="9" spans="1:35" ht="13.5" customHeight="1" x14ac:dyDescent="0.15">
      <c r="A9" s="390"/>
      <c r="B9" s="994" t="e">
        <f>#REF!</f>
        <v>#REF!</v>
      </c>
      <c r="C9" s="995"/>
      <c r="D9" s="996" t="e">
        <f>#REF!</f>
        <v>#REF!</v>
      </c>
      <c r="E9" s="997"/>
      <c r="F9" s="996" t="e">
        <f>D9*0.3025</f>
        <v>#REF!</v>
      </c>
      <c r="G9" s="997"/>
      <c r="H9" s="961"/>
      <c r="I9" s="962"/>
      <c r="J9" s="393"/>
      <c r="K9" s="402"/>
      <c r="L9" s="402"/>
      <c r="M9" s="399"/>
      <c r="N9" s="390"/>
      <c r="O9" s="390"/>
      <c r="P9" s="390"/>
      <c r="Q9" s="390"/>
      <c r="R9" s="390"/>
      <c r="S9" s="390"/>
      <c r="T9" s="390"/>
      <c r="U9" s="390"/>
      <c r="V9" s="390"/>
      <c r="W9" s="390"/>
      <c r="X9" s="390"/>
      <c r="Y9" s="391"/>
      <c r="Z9" s="393"/>
      <c r="AA9" s="29"/>
      <c r="AB9" s="29"/>
      <c r="AG9" s="405"/>
      <c r="AI9" s="405"/>
    </row>
    <row r="10" spans="1:35" ht="13.5" customHeight="1" x14ac:dyDescent="0.15">
      <c r="A10" s="390"/>
      <c r="B10" s="963" t="e">
        <f>#REF!</f>
        <v>#REF!</v>
      </c>
      <c r="C10" s="964"/>
      <c r="D10" s="965" t="e">
        <f>#REF!</f>
        <v>#REF!</v>
      </c>
      <c r="E10" s="966"/>
      <c r="F10" s="965" t="e">
        <f>D10*0.3025</f>
        <v>#REF!</v>
      </c>
      <c r="G10" s="966"/>
      <c r="H10" s="491"/>
      <c r="I10" s="492"/>
      <c r="J10" s="393"/>
      <c r="K10" s="402"/>
      <c r="L10" s="402"/>
      <c r="M10" s="399"/>
      <c r="N10" s="390"/>
      <c r="O10" s="390"/>
      <c r="P10" s="390"/>
      <c r="Q10" s="390"/>
      <c r="R10" s="390"/>
      <c r="S10" s="390"/>
      <c r="T10" s="390"/>
      <c r="U10" s="390"/>
      <c r="V10" s="390"/>
      <c r="W10" s="390"/>
      <c r="X10" s="390"/>
      <c r="Y10" s="391"/>
      <c r="Z10" s="393"/>
      <c r="AA10" s="29"/>
      <c r="AB10" s="29"/>
      <c r="AD10" t="s">
        <v>224</v>
      </c>
      <c r="AE10" s="405">
        <f>D19/100</f>
        <v>0</v>
      </c>
      <c r="AF10" t="s">
        <v>98</v>
      </c>
      <c r="AG10" s="405">
        <f>H19/100</f>
        <v>0</v>
      </c>
      <c r="AH10" t="s">
        <v>119</v>
      </c>
      <c r="AI10" s="405" t="e">
        <f>F37/100</f>
        <v>#REF!</v>
      </c>
    </row>
    <row r="11" spans="1:35" ht="13.5" customHeight="1" x14ac:dyDescent="0.15">
      <c r="A11" s="390"/>
      <c r="B11" s="986" t="s">
        <v>379</v>
      </c>
      <c r="C11" s="987"/>
      <c r="D11" s="988" t="e">
        <f>#REF!+#REF!+#REF!</f>
        <v>#REF!</v>
      </c>
      <c r="E11" s="989"/>
      <c r="F11" s="988" t="e">
        <f>D11*0.3025</f>
        <v>#REF!</v>
      </c>
      <c r="G11" s="989"/>
      <c r="H11" s="491"/>
      <c r="I11" s="492"/>
      <c r="J11" s="393"/>
      <c r="K11" s="402"/>
      <c r="L11" s="402"/>
      <c r="M11" s="399"/>
      <c r="N11" s="390"/>
      <c r="O11" s="390"/>
      <c r="P11" s="390"/>
      <c r="Q11" s="390"/>
      <c r="R11" s="390"/>
      <c r="S11" s="390"/>
      <c r="T11" s="390"/>
      <c r="U11" s="390"/>
      <c r="V11" s="390"/>
      <c r="W11" s="390"/>
      <c r="X11" s="390"/>
      <c r="Y11" s="391"/>
      <c r="Z11" s="393"/>
      <c r="AA11" s="29"/>
      <c r="AB11" s="29"/>
      <c r="AD11" t="s">
        <v>225</v>
      </c>
      <c r="AE11" s="405">
        <f>(D20+D21)/100</f>
        <v>0</v>
      </c>
      <c r="AF11" t="s">
        <v>226</v>
      </c>
      <c r="AG11" s="405" t="e">
        <f>H20/100</f>
        <v>#REF!</v>
      </c>
      <c r="AH11" t="s">
        <v>27</v>
      </c>
      <c r="AI11" s="405" t="e">
        <f>H37/100</f>
        <v>#REF!</v>
      </c>
    </row>
    <row r="12" spans="1:35" ht="13.5" customHeight="1" thickBot="1" x14ac:dyDescent="0.2">
      <c r="A12" s="390"/>
      <c r="B12" s="990" t="s">
        <v>296</v>
      </c>
      <c r="C12" s="991"/>
      <c r="D12" s="992" t="e">
        <f>#REF!</f>
        <v>#REF!</v>
      </c>
      <c r="E12" s="993"/>
      <c r="F12" s="992" t="e">
        <f>D12*0.3025</f>
        <v>#REF!</v>
      </c>
      <c r="G12" s="993"/>
      <c r="H12" s="493"/>
      <c r="I12" s="494"/>
      <c r="J12" s="393"/>
      <c r="K12" s="402"/>
      <c r="L12" s="402"/>
      <c r="M12" s="399"/>
      <c r="N12" s="390"/>
      <c r="O12" s="390"/>
      <c r="P12" s="390"/>
      <c r="Q12" s="390"/>
      <c r="R12" s="390"/>
      <c r="S12" s="390"/>
      <c r="T12" s="390"/>
      <c r="U12" s="390"/>
      <c r="V12" s="390"/>
      <c r="W12" s="390"/>
      <c r="X12" s="390"/>
      <c r="Y12" s="392"/>
      <c r="Z12" s="393"/>
      <c r="AA12" s="29"/>
      <c r="AD12" t="s">
        <v>19</v>
      </c>
      <c r="AE12" s="405">
        <f>(D22)/100</f>
        <v>0</v>
      </c>
      <c r="AF12" t="s">
        <v>227</v>
      </c>
      <c r="AG12" s="405" t="e">
        <f>K32/100</f>
        <v>#REF!</v>
      </c>
      <c r="AH12" t="s">
        <v>230</v>
      </c>
      <c r="AI12" s="405" t="e">
        <f>IF(D37-K32&gt;0,(D37-K32)/100,0)</f>
        <v>#REF!</v>
      </c>
    </row>
    <row r="13" spans="1:35" ht="13.5" customHeight="1" thickBot="1" x14ac:dyDescent="0.2">
      <c r="A13" s="390"/>
      <c r="B13" s="1004" t="s">
        <v>88</v>
      </c>
      <c r="C13" s="1005"/>
      <c r="D13" s="1006" t="e">
        <f>SUM(D8:E12)</f>
        <v>#REF!</v>
      </c>
      <c r="E13" s="1007"/>
      <c r="F13" s="1006" t="e">
        <f>SUM(F8:G12)</f>
        <v>#REF!</v>
      </c>
      <c r="G13" s="1007"/>
      <c r="H13" s="495"/>
      <c r="I13" s="496"/>
      <c r="J13" s="393"/>
      <c r="K13" s="402"/>
      <c r="L13" s="402"/>
      <c r="M13" s="399"/>
      <c r="N13" s="390"/>
      <c r="O13" s="390"/>
      <c r="P13" s="390"/>
      <c r="Q13" s="390"/>
      <c r="R13" s="390"/>
      <c r="S13" s="390"/>
      <c r="T13" s="390"/>
      <c r="U13" s="390"/>
      <c r="V13" s="390"/>
      <c r="W13" s="390"/>
      <c r="X13" s="390"/>
      <c r="Y13" s="392"/>
      <c r="Z13" s="393"/>
      <c r="AA13" s="29"/>
      <c r="AB13" t="s">
        <v>333</v>
      </c>
      <c r="AC13" s="405" t="e">
        <f>#REF!/100</f>
        <v>#REF!</v>
      </c>
      <c r="AD13" t="s">
        <v>228</v>
      </c>
      <c r="AE13" s="405">
        <f>D25/100</f>
        <v>0</v>
      </c>
      <c r="AG13" s="405"/>
      <c r="AH13" t="s">
        <v>108</v>
      </c>
      <c r="AI13" s="405" t="e">
        <f>IF(D37-K32&gt;0,K32/100,D37/100)</f>
        <v>#REF!</v>
      </c>
    </row>
    <row r="14" spans="1:35" ht="13.5" customHeight="1" x14ac:dyDescent="0.15">
      <c r="A14" s="390"/>
      <c r="B14" s="390"/>
      <c r="C14" s="390"/>
      <c r="D14" s="390"/>
      <c r="E14" s="390"/>
      <c r="F14" s="390"/>
      <c r="G14" s="390"/>
      <c r="H14" s="390"/>
      <c r="I14" s="390"/>
      <c r="J14" s="393"/>
      <c r="K14" s="390"/>
      <c r="L14" s="390"/>
      <c r="M14" s="399"/>
      <c r="N14" s="390"/>
      <c r="O14" s="390"/>
      <c r="P14" s="390"/>
      <c r="Q14" s="390"/>
      <c r="R14" s="390"/>
      <c r="S14" s="390"/>
      <c r="T14" s="390"/>
      <c r="U14" s="390"/>
      <c r="V14" s="390"/>
      <c r="W14" s="390"/>
      <c r="X14" s="390"/>
      <c r="Y14" s="392"/>
      <c r="Z14" s="393"/>
      <c r="AA14" s="29"/>
      <c r="AB14" t="s">
        <v>334</v>
      </c>
      <c r="AC14" s="405" t="e">
        <f>#REF!/100</f>
        <v>#REF!</v>
      </c>
      <c r="AD14" t="s">
        <v>229</v>
      </c>
      <c r="AE14" s="405">
        <f>(D23+D24)/100</f>
        <v>0</v>
      </c>
      <c r="AG14" s="405"/>
    </row>
    <row r="15" spans="1:35" ht="13.5" customHeight="1" x14ac:dyDescent="0.15">
      <c r="A15" s="390"/>
      <c r="B15" s="390"/>
      <c r="C15" s="390"/>
      <c r="D15" s="390"/>
      <c r="E15" s="390"/>
      <c r="F15" s="390"/>
      <c r="G15" s="390"/>
      <c r="H15" s="390"/>
      <c r="I15" s="390"/>
      <c r="J15" s="393"/>
      <c r="K15" s="390"/>
      <c r="L15" s="390"/>
      <c r="M15" s="399"/>
      <c r="N15" s="390"/>
      <c r="O15" s="390"/>
      <c r="P15" s="390"/>
      <c r="Q15" s="390"/>
      <c r="R15" s="390"/>
      <c r="S15" s="390"/>
      <c r="T15" s="390"/>
      <c r="U15" s="390"/>
      <c r="V15" s="390"/>
      <c r="W15" s="390"/>
      <c r="X15" s="390"/>
      <c r="Y15" s="392"/>
      <c r="Z15" s="393"/>
      <c r="AA15" s="29"/>
    </row>
    <row r="16" spans="1:35" ht="13.5" customHeight="1" thickBot="1" x14ac:dyDescent="0.2">
      <c r="A16" s="390"/>
      <c r="B16" s="390" t="s">
        <v>219</v>
      </c>
      <c r="C16" s="393"/>
      <c r="D16" s="393"/>
      <c r="E16" s="393"/>
      <c r="F16" s="393"/>
      <c r="G16" s="393"/>
      <c r="H16" s="393"/>
      <c r="I16" s="393"/>
      <c r="J16" s="393"/>
      <c r="K16" s="390"/>
      <c r="L16" s="390"/>
      <c r="M16" s="399"/>
      <c r="N16" s="390"/>
      <c r="O16" s="390"/>
      <c r="P16" s="390"/>
      <c r="Q16" s="390"/>
      <c r="R16" s="390"/>
      <c r="S16" s="390"/>
      <c r="T16" s="390"/>
      <c r="U16" s="390"/>
      <c r="V16" s="390"/>
      <c r="W16" s="390"/>
      <c r="X16" s="390"/>
      <c r="Y16" s="392"/>
      <c r="Z16" s="393"/>
      <c r="AA16" s="29"/>
    </row>
    <row r="17" spans="1:40" ht="13.5" customHeight="1" thickBot="1" x14ac:dyDescent="0.2">
      <c r="A17" s="390"/>
      <c r="B17" s="1008" t="s">
        <v>89</v>
      </c>
      <c r="C17" s="1009"/>
      <c r="D17" s="1009"/>
      <c r="E17" s="1010"/>
      <c r="F17" s="1011" t="s">
        <v>90</v>
      </c>
      <c r="G17" s="1012"/>
      <c r="H17" s="1012"/>
      <c r="I17" s="1013"/>
      <c r="J17" s="393"/>
      <c r="K17" s="390"/>
      <c r="L17" s="390"/>
      <c r="M17" s="399"/>
      <c r="N17" s="390"/>
      <c r="O17" s="390"/>
      <c r="P17" s="390"/>
      <c r="Q17" s="390"/>
      <c r="R17" s="390"/>
      <c r="S17" s="390"/>
      <c r="T17" s="390"/>
      <c r="U17" s="390"/>
      <c r="V17" s="390"/>
      <c r="W17" s="390"/>
      <c r="X17" s="390"/>
      <c r="Y17" s="392"/>
      <c r="Z17" s="393"/>
      <c r="AA17" s="32"/>
      <c r="AB17" s="29"/>
      <c r="AC17" s="29"/>
      <c r="AD17" s="29"/>
      <c r="AE17" s="29"/>
    </row>
    <row r="18" spans="1:40" ht="13.5" customHeight="1" thickTop="1" thickBot="1" x14ac:dyDescent="0.2">
      <c r="A18" s="390"/>
      <c r="B18" s="1014" t="s">
        <v>91</v>
      </c>
      <c r="C18" s="1015"/>
      <c r="D18" s="83" t="s">
        <v>92</v>
      </c>
      <c r="E18" s="82" t="s">
        <v>61</v>
      </c>
      <c r="F18" s="1016" t="s">
        <v>91</v>
      </c>
      <c r="G18" s="1017"/>
      <c r="H18" s="80" t="s">
        <v>92</v>
      </c>
      <c r="I18" s="81" t="s">
        <v>61</v>
      </c>
      <c r="J18" s="393"/>
      <c r="K18" s="390"/>
      <c r="L18" s="390"/>
      <c r="M18" s="399"/>
      <c r="N18" s="390"/>
      <c r="O18" s="390"/>
      <c r="P18" s="390"/>
      <c r="Q18" s="390"/>
      <c r="R18" s="390"/>
      <c r="S18" s="390"/>
      <c r="T18" s="390"/>
      <c r="U18" s="390"/>
      <c r="V18" s="390"/>
      <c r="W18" s="390"/>
      <c r="X18" s="390"/>
      <c r="Y18" s="413"/>
      <c r="Z18" s="393"/>
      <c r="AA18" s="86"/>
      <c r="AB18" s="29"/>
      <c r="AC18" s="29"/>
      <c r="AD18" s="29"/>
      <c r="AE18" s="29"/>
      <c r="AF18" s="409"/>
      <c r="AG18" s="409"/>
      <c r="AH18" s="29"/>
      <c r="AI18" s="29"/>
    </row>
    <row r="19" spans="1:40" ht="13.5" customHeight="1" thickTop="1" x14ac:dyDescent="0.15">
      <c r="A19" s="390"/>
      <c r="B19" s="998" t="s">
        <v>0</v>
      </c>
      <c r="C19" s="999"/>
      <c r="D19" s="79">
        <f>様式３!E12</f>
        <v>0</v>
      </c>
      <c r="E19" s="97" t="e">
        <f t="shared" ref="E19:E25" si="0">D19/$D$26</f>
        <v>#DIV/0!</v>
      </c>
      <c r="F19" s="1000" t="s">
        <v>62</v>
      </c>
      <c r="G19" s="999"/>
      <c r="H19" s="79">
        <f>様式３!K43</f>
        <v>0</v>
      </c>
      <c r="I19" s="97" t="e">
        <f>H19/$H$26</f>
        <v>#REF!</v>
      </c>
      <c r="J19" s="393"/>
      <c r="K19" s="390"/>
      <c r="L19" s="390"/>
      <c r="M19" s="399"/>
      <c r="N19" s="390"/>
      <c r="O19" s="390"/>
      <c r="P19" s="390"/>
      <c r="Q19" s="390"/>
      <c r="R19" s="390"/>
      <c r="S19" s="390"/>
      <c r="T19" s="390"/>
      <c r="U19" s="390"/>
      <c r="V19" s="390"/>
      <c r="W19" s="390"/>
      <c r="X19" s="390"/>
      <c r="Y19" s="397"/>
      <c r="Z19" s="393"/>
      <c r="AA19" s="86"/>
      <c r="AB19" s="29"/>
      <c r="AC19" s="29"/>
      <c r="AD19" s="29"/>
      <c r="AE19" s="33"/>
      <c r="AF19" s="33"/>
      <c r="AG19" s="408"/>
      <c r="AH19" s="29"/>
      <c r="AI19" s="33"/>
    </row>
    <row r="20" spans="1:40" ht="13.5" customHeight="1" x14ac:dyDescent="0.15">
      <c r="A20" s="390"/>
      <c r="B20" s="1001" t="s">
        <v>1</v>
      </c>
      <c r="C20" s="1002"/>
      <c r="D20" s="31">
        <f>様式３!E16</f>
        <v>0</v>
      </c>
      <c r="E20" s="98" t="e">
        <f t="shared" si="0"/>
        <v>#DIV/0!</v>
      </c>
      <c r="F20" s="1003" t="s">
        <v>63</v>
      </c>
      <c r="G20" s="1002"/>
      <c r="H20" s="31" t="e">
        <f>#REF!</f>
        <v>#REF!</v>
      </c>
      <c r="I20" s="98" t="e">
        <f>H20/$H$26</f>
        <v>#REF!</v>
      </c>
      <c r="J20" s="393"/>
      <c r="K20" s="390"/>
      <c r="L20" s="390"/>
      <c r="M20" s="399"/>
      <c r="N20" s="390"/>
      <c r="O20" s="390"/>
      <c r="P20" s="390"/>
      <c r="Q20" s="390"/>
      <c r="R20" s="390"/>
      <c r="S20" s="390"/>
      <c r="T20" s="390"/>
      <c r="U20" s="390"/>
      <c r="V20" s="390"/>
      <c r="W20" s="390"/>
      <c r="X20" s="390"/>
      <c r="Y20" s="397"/>
      <c r="Z20" s="393"/>
      <c r="AA20" s="86"/>
      <c r="AB20" s="29"/>
      <c r="AC20" s="29"/>
      <c r="AD20" s="29"/>
      <c r="AE20" s="33"/>
      <c r="AH20" s="29"/>
      <c r="AI20" s="33"/>
    </row>
    <row r="21" spans="1:40" ht="13.5" customHeight="1" x14ac:dyDescent="0.15">
      <c r="A21" s="390"/>
      <c r="B21" s="1001" t="s">
        <v>2</v>
      </c>
      <c r="C21" s="1002"/>
      <c r="D21" s="31">
        <f>様式３!E21</f>
        <v>0</v>
      </c>
      <c r="E21" s="98" t="e">
        <f t="shared" si="0"/>
        <v>#DIV/0!</v>
      </c>
      <c r="F21" s="1003"/>
      <c r="G21" s="1002"/>
      <c r="H21" s="31"/>
      <c r="I21" s="98"/>
      <c r="J21" s="393"/>
      <c r="K21" s="390"/>
      <c r="L21" s="390"/>
      <c r="M21" s="399"/>
      <c r="N21" s="390"/>
      <c r="O21" s="390"/>
      <c r="P21" s="390"/>
      <c r="Q21" s="390"/>
      <c r="R21" s="390"/>
      <c r="S21" s="390"/>
      <c r="T21" s="390"/>
      <c r="U21" s="390"/>
      <c r="V21" s="390"/>
      <c r="W21" s="390"/>
      <c r="X21" s="390"/>
      <c r="Y21" s="397"/>
      <c r="Z21" s="393"/>
      <c r="AA21" s="86"/>
      <c r="AB21" s="29"/>
      <c r="AC21" s="29"/>
      <c r="AD21" s="29"/>
      <c r="AH21" s="29"/>
    </row>
    <row r="22" spans="1:40" ht="13.5" customHeight="1" x14ac:dyDescent="0.15">
      <c r="A22" s="390"/>
      <c r="B22" s="1001" t="s">
        <v>19</v>
      </c>
      <c r="C22" s="1002"/>
      <c r="D22" s="31">
        <f>様式３!E34</f>
        <v>0</v>
      </c>
      <c r="E22" s="98" t="e">
        <f t="shared" si="0"/>
        <v>#DIV/0!</v>
      </c>
      <c r="F22" s="1003"/>
      <c r="G22" s="1002"/>
      <c r="H22" s="26"/>
      <c r="I22" s="98"/>
      <c r="J22" s="393"/>
      <c r="K22" s="390"/>
      <c r="L22" s="390"/>
      <c r="M22" s="399"/>
      <c r="N22" s="390"/>
      <c r="O22" s="390"/>
      <c r="P22" s="390"/>
      <c r="Q22" s="390"/>
      <c r="R22" s="390"/>
      <c r="S22" s="390"/>
      <c r="T22" s="390"/>
      <c r="U22" s="390"/>
      <c r="V22" s="390"/>
      <c r="W22" s="390"/>
      <c r="X22" s="390"/>
      <c r="Y22" s="397"/>
      <c r="Z22" s="390"/>
      <c r="AA22" s="86"/>
      <c r="AB22" s="29"/>
      <c r="AC22" s="29"/>
      <c r="AD22" s="29"/>
      <c r="AE22" s="33"/>
      <c r="AF22" s="33"/>
      <c r="AG22" s="33"/>
      <c r="AH22" s="29"/>
    </row>
    <row r="23" spans="1:40" ht="13.5" customHeight="1" x14ac:dyDescent="0.15">
      <c r="A23" s="390"/>
      <c r="B23" s="1001" t="s">
        <v>93</v>
      </c>
      <c r="C23" s="1002"/>
      <c r="D23" s="31">
        <f>様式３!E40</f>
        <v>0</v>
      </c>
      <c r="E23" s="98" t="e">
        <f t="shared" si="0"/>
        <v>#DIV/0!</v>
      </c>
      <c r="F23" s="1003"/>
      <c r="G23" s="1002"/>
      <c r="H23" s="26"/>
      <c r="I23" s="98"/>
      <c r="J23" s="393"/>
      <c r="K23" s="390"/>
      <c r="L23" s="390"/>
      <c r="M23" s="399"/>
      <c r="N23" s="390"/>
      <c r="O23" s="390"/>
      <c r="P23" s="390"/>
      <c r="Q23" s="390"/>
      <c r="R23" s="390"/>
      <c r="S23" s="390"/>
      <c r="T23" s="390"/>
      <c r="U23" s="390"/>
      <c r="V23" s="390"/>
      <c r="W23" s="390"/>
      <c r="X23" s="390"/>
      <c r="Y23" s="397"/>
      <c r="Z23" s="390"/>
      <c r="AB23" s="29"/>
      <c r="AC23" s="29"/>
      <c r="AD23" s="29"/>
      <c r="AE23" s="33"/>
      <c r="AF23" s="408"/>
      <c r="AG23" s="408"/>
      <c r="AH23" s="29"/>
      <c r="AI23" s="33"/>
    </row>
    <row r="24" spans="1:40" ht="13.5" customHeight="1" x14ac:dyDescent="0.15">
      <c r="A24" s="390"/>
      <c r="B24" s="1001" t="s">
        <v>168</v>
      </c>
      <c r="C24" s="1002"/>
      <c r="D24" s="31">
        <f>様式３!E41</f>
        <v>0</v>
      </c>
      <c r="E24" s="98" t="e">
        <f t="shared" si="0"/>
        <v>#DIV/0!</v>
      </c>
      <c r="F24" s="1003"/>
      <c r="G24" s="1002"/>
      <c r="H24" s="26"/>
      <c r="I24" s="98"/>
      <c r="J24" s="393"/>
      <c r="K24" s="390"/>
      <c r="L24" s="390"/>
      <c r="M24" s="399"/>
      <c r="N24" s="390"/>
      <c r="O24" s="390"/>
      <c r="P24" s="390"/>
      <c r="Q24" s="390"/>
      <c r="R24" s="390"/>
      <c r="S24" s="390"/>
      <c r="T24" s="390"/>
      <c r="U24" s="390"/>
      <c r="V24" s="390"/>
      <c r="W24" s="390"/>
      <c r="X24" s="390"/>
      <c r="Y24" s="397"/>
      <c r="Z24" s="390"/>
      <c r="AB24" s="29"/>
      <c r="AC24" s="29"/>
      <c r="AD24" s="29"/>
      <c r="AE24" s="33"/>
      <c r="AF24" s="33"/>
      <c r="AG24" s="33"/>
      <c r="AH24" s="29"/>
    </row>
    <row r="25" spans="1:40" ht="13.5" customHeight="1" thickBot="1" x14ac:dyDescent="0.2">
      <c r="A25" s="390"/>
      <c r="B25" s="1019" t="s">
        <v>451</v>
      </c>
      <c r="C25" s="1020"/>
      <c r="D25" s="84">
        <f>様式３!E42</f>
        <v>0</v>
      </c>
      <c r="E25" s="99" t="e">
        <f t="shared" si="0"/>
        <v>#DIV/0!</v>
      </c>
      <c r="F25" s="979"/>
      <c r="G25" s="1020"/>
      <c r="H25" s="85"/>
      <c r="I25" s="99"/>
      <c r="J25" s="393"/>
      <c r="K25" s="390"/>
      <c r="L25" s="390"/>
      <c r="M25" s="399"/>
      <c r="N25" s="390"/>
      <c r="O25" s="390"/>
      <c r="P25" s="390"/>
      <c r="Q25" s="390"/>
      <c r="R25" s="390"/>
      <c r="S25" s="390"/>
      <c r="T25" s="390"/>
      <c r="U25" s="390"/>
      <c r="V25" s="390"/>
      <c r="W25" s="390"/>
      <c r="X25" s="390"/>
      <c r="Y25" s="397"/>
      <c r="Z25" s="390"/>
      <c r="AC25" s="29"/>
      <c r="AD25" s="29"/>
      <c r="AE25" s="33"/>
      <c r="AF25" s="33"/>
      <c r="AG25" s="33"/>
      <c r="AH25" s="29"/>
      <c r="AI25" s="93"/>
    </row>
    <row r="26" spans="1:40" ht="13.5" customHeight="1" x14ac:dyDescent="0.15">
      <c r="A26" s="390"/>
      <c r="B26" s="1021" t="s">
        <v>31</v>
      </c>
      <c r="C26" s="1022"/>
      <c r="D26" s="1025">
        <f>SUM(D19:D25)</f>
        <v>0</v>
      </c>
      <c r="E26" s="1027" t="e">
        <f>SUM(E19:E25)</f>
        <v>#DIV/0!</v>
      </c>
      <c r="F26" s="973" t="s">
        <v>31</v>
      </c>
      <c r="G26" s="1022"/>
      <c r="H26" s="1033" t="e">
        <f>SUM(H19:H25)</f>
        <v>#REF!</v>
      </c>
      <c r="I26" s="1035" t="e">
        <f>I19+I20</f>
        <v>#REF!</v>
      </c>
      <c r="J26" s="393"/>
      <c r="K26" s="390"/>
      <c r="L26" s="390"/>
      <c r="M26" s="399"/>
      <c r="N26" s="390"/>
      <c r="O26" s="390"/>
      <c r="P26" s="390"/>
      <c r="Q26" s="390"/>
      <c r="R26" s="390"/>
      <c r="S26" s="390"/>
      <c r="T26" s="390"/>
      <c r="U26" s="390"/>
      <c r="V26" s="390"/>
      <c r="W26" s="390"/>
      <c r="X26" s="390"/>
      <c r="Y26" s="397"/>
      <c r="Z26" s="390"/>
      <c r="AC26" s="29"/>
      <c r="AD26" s="29"/>
      <c r="AE26" s="33"/>
      <c r="AF26" s="33"/>
      <c r="AG26" s="33"/>
      <c r="AH26" s="29"/>
      <c r="AI26" s="93"/>
    </row>
    <row r="27" spans="1:40" ht="13.5" customHeight="1" thickBot="1" x14ac:dyDescent="0.2">
      <c r="A27" s="390"/>
      <c r="B27" s="1023"/>
      <c r="C27" s="1024"/>
      <c r="D27" s="1026"/>
      <c r="E27" s="1028"/>
      <c r="F27" s="1029"/>
      <c r="G27" s="1024"/>
      <c r="H27" s="1034"/>
      <c r="I27" s="1036"/>
      <c r="J27" s="393"/>
      <c r="K27" s="403"/>
      <c r="L27" s="390"/>
      <c r="M27" s="414"/>
      <c r="N27" s="395"/>
      <c r="O27" s="395"/>
      <c r="P27" s="395"/>
      <c r="Q27" s="395"/>
      <c r="R27" s="395"/>
      <c r="S27" s="395"/>
      <c r="T27" s="395"/>
      <c r="U27" s="395"/>
      <c r="V27" s="395"/>
      <c r="W27" s="395"/>
      <c r="X27" s="410"/>
      <c r="Y27" s="415"/>
      <c r="Z27" s="390"/>
      <c r="AC27" s="29"/>
      <c r="AD27" s="29"/>
      <c r="AE27" s="33"/>
      <c r="AF27" s="33"/>
      <c r="AG27" s="33"/>
      <c r="AH27" s="29"/>
      <c r="AI27" s="33"/>
    </row>
    <row r="28" spans="1:40" ht="13.5" customHeight="1" x14ac:dyDescent="0.15">
      <c r="A28" s="390"/>
      <c r="B28" s="390"/>
      <c r="C28" s="390"/>
      <c r="D28" s="393"/>
      <c r="E28" s="393"/>
      <c r="F28" s="393"/>
      <c r="G28" s="393"/>
      <c r="H28" s="393"/>
      <c r="I28" s="393"/>
      <c r="J28" s="393"/>
      <c r="K28" s="393"/>
      <c r="L28" s="393"/>
      <c r="M28" s="393"/>
      <c r="N28" s="393"/>
      <c r="O28" s="393"/>
      <c r="P28" s="393"/>
      <c r="Q28" s="390"/>
      <c r="R28" s="390"/>
      <c r="S28" s="390"/>
      <c r="T28" s="390"/>
      <c r="U28" s="393"/>
      <c r="V28" s="393"/>
      <c r="W28" s="393"/>
      <c r="X28" s="393"/>
      <c r="Y28" s="404"/>
      <c r="Z28" s="390"/>
      <c r="AC28" s="516"/>
    </row>
    <row r="29" spans="1:40" ht="13.5" customHeight="1" x14ac:dyDescent="0.15">
      <c r="A29" s="390"/>
      <c r="B29" s="390" t="s">
        <v>220</v>
      </c>
      <c r="C29" s="393"/>
      <c r="D29" s="393"/>
      <c r="E29" s="393"/>
      <c r="F29" s="393"/>
      <c r="G29" s="393"/>
      <c r="H29" s="393"/>
      <c r="I29" s="393"/>
      <c r="J29" s="393"/>
      <c r="K29" s="393"/>
      <c r="L29" s="393"/>
      <c r="M29" s="393"/>
      <c r="N29" s="393"/>
      <c r="O29" s="390" t="s">
        <v>295</v>
      </c>
      <c r="P29" s="390"/>
      <c r="Q29" s="390"/>
      <c r="R29" s="390"/>
      <c r="S29" s="390"/>
      <c r="T29" s="390"/>
      <c r="U29" s="390"/>
      <c r="V29" s="390"/>
      <c r="W29" s="390"/>
      <c r="X29" s="390"/>
      <c r="Y29" s="404"/>
      <c r="Z29" s="390"/>
    </row>
    <row r="30" spans="1:40" ht="13.5" customHeight="1" x14ac:dyDescent="0.15">
      <c r="A30" s="390"/>
      <c r="B30" s="390"/>
      <c r="C30" s="390" t="s">
        <v>32</v>
      </c>
      <c r="D30" s="390"/>
      <c r="E30" s="393"/>
      <c r="F30" s="390" t="s">
        <v>32</v>
      </c>
      <c r="G30" s="390"/>
      <c r="H30" s="390"/>
      <c r="I30" s="489" t="s">
        <v>96</v>
      </c>
      <c r="J30" s="390"/>
      <c r="K30" s="390"/>
      <c r="L30" t="s">
        <v>32</v>
      </c>
      <c r="M30" s="390"/>
      <c r="N30" s="393"/>
      <c r="O30" s="482"/>
      <c r="P30" s="400"/>
      <c r="Q30" s="400"/>
      <c r="R30" s="400"/>
      <c r="S30" s="400"/>
      <c r="T30" s="400"/>
      <c r="U30" s="400"/>
      <c r="V30" s="400"/>
      <c r="W30" s="400"/>
      <c r="X30" s="396"/>
      <c r="Y30" s="404"/>
      <c r="Z30" s="390"/>
    </row>
    <row r="31" spans="1:40" ht="13.5" customHeight="1" x14ac:dyDescent="0.15">
      <c r="A31" s="390"/>
      <c r="B31" s="900" t="s">
        <v>100</v>
      </c>
      <c r="C31" s="900"/>
      <c r="D31" s="390"/>
      <c r="E31" s="1037" t="s">
        <v>97</v>
      </c>
      <c r="F31" s="1037"/>
      <c r="G31" s="483"/>
      <c r="H31" s="1038" t="s">
        <v>98</v>
      </c>
      <c r="I31" s="1038"/>
      <c r="J31" s="483"/>
      <c r="K31" s="1018" t="s">
        <v>99</v>
      </c>
      <c r="L31" s="1018"/>
      <c r="M31" s="483"/>
      <c r="N31" s="393"/>
      <c r="O31" s="394"/>
      <c r="P31" s="390"/>
      <c r="Q31" s="390"/>
      <c r="R31" s="390"/>
      <c r="S31" s="390"/>
      <c r="T31" s="390"/>
      <c r="U31" s="390"/>
      <c r="V31" s="390"/>
      <c r="W31" s="484"/>
      <c r="X31" s="391"/>
      <c r="Y31" s="402"/>
      <c r="Z31" s="390"/>
      <c r="AA31" s="29"/>
      <c r="AB31" s="29"/>
      <c r="AC31" s="29"/>
    </row>
    <row r="32" spans="1:40" ht="13.5" customHeight="1" x14ac:dyDescent="0.15">
      <c r="A32" s="390"/>
      <c r="B32" s="1030" t="e">
        <f>E32-H32+K32</f>
        <v>#REF!</v>
      </c>
      <c r="C32" s="1002"/>
      <c r="D32" s="1031" t="s">
        <v>75</v>
      </c>
      <c r="E32" s="1030" t="e">
        <f>#REF!</f>
        <v>#REF!</v>
      </c>
      <c r="F32" s="1002"/>
      <c r="G32" s="1031" t="s">
        <v>74</v>
      </c>
      <c r="H32" s="1030" t="e">
        <f>#REF!</f>
        <v>#REF!</v>
      </c>
      <c r="I32" s="1002"/>
      <c r="J32" s="1032" t="s">
        <v>78</v>
      </c>
      <c r="K32" s="1039" t="e">
        <f>#REF!</f>
        <v>#REF!</v>
      </c>
      <c r="L32" s="1039"/>
      <c r="M32" s="390"/>
      <c r="N32" s="393"/>
      <c r="O32" s="394"/>
      <c r="P32" s="390"/>
      <c r="Q32" s="390"/>
      <c r="R32" s="390"/>
      <c r="S32" s="390"/>
      <c r="T32" s="390"/>
      <c r="U32" s="390"/>
      <c r="V32" s="390"/>
      <c r="W32" s="485"/>
      <c r="X32" s="391"/>
      <c r="Y32" s="402"/>
      <c r="Z32" s="390"/>
      <c r="AA32" s="401"/>
      <c r="AB32" s="393"/>
      <c r="AC32" s="393"/>
      <c r="AD32" s="393"/>
      <c r="AE32" s="393"/>
      <c r="AF32" s="390"/>
      <c r="AG32" s="390"/>
      <c r="AH32" s="390"/>
      <c r="AI32" s="390"/>
      <c r="AJ32" s="393"/>
      <c r="AK32" s="393"/>
      <c r="AL32" s="393"/>
      <c r="AM32" s="393"/>
      <c r="AN32" s="393"/>
    </row>
    <row r="33" spans="1:40" ht="13.5" customHeight="1" x14ac:dyDescent="0.15">
      <c r="A33" s="390"/>
      <c r="B33" s="1002"/>
      <c r="C33" s="1002"/>
      <c r="D33" s="1031"/>
      <c r="E33" s="1002"/>
      <c r="F33" s="1002"/>
      <c r="G33" s="1031"/>
      <c r="H33" s="1002"/>
      <c r="I33" s="1002"/>
      <c r="J33" s="1032"/>
      <c r="K33" s="1039"/>
      <c r="L33" s="1039"/>
      <c r="M33" s="390"/>
      <c r="N33" s="393"/>
      <c r="O33" s="394"/>
      <c r="P33" s="390"/>
      <c r="Q33" s="390"/>
      <c r="R33" s="390"/>
      <c r="S33" s="390"/>
      <c r="T33" s="390"/>
      <c r="U33" s="390"/>
      <c r="V33" s="390"/>
      <c r="W33" s="390"/>
      <c r="X33" s="392"/>
      <c r="Y33" s="402"/>
      <c r="Z33" s="390"/>
      <c r="AA33" s="401"/>
      <c r="AB33" s="393"/>
      <c r="AC33" s="393"/>
      <c r="AD33" s="393"/>
      <c r="AE33" s="393"/>
      <c r="AF33" s="390"/>
      <c r="AG33" s="390"/>
      <c r="AH33" s="390"/>
      <c r="AI33" s="390"/>
      <c r="AJ33" s="393"/>
      <c r="AK33" s="393"/>
      <c r="AL33" s="393"/>
      <c r="AM33" s="393"/>
      <c r="AN33" s="393"/>
    </row>
    <row r="34" spans="1:40" ht="13.5" customHeight="1" x14ac:dyDescent="0.15">
      <c r="A34" s="390"/>
      <c r="B34" s="393"/>
      <c r="C34" s="393"/>
      <c r="D34" s="393"/>
      <c r="E34" s="1040"/>
      <c r="F34" s="1040"/>
      <c r="G34" s="490"/>
      <c r="H34" s="390"/>
      <c r="I34" s="393"/>
      <c r="J34" s="393"/>
      <c r="K34" s="393"/>
      <c r="L34" s="393"/>
      <c r="M34" s="393"/>
      <c r="N34" s="393"/>
      <c r="O34" s="394"/>
      <c r="P34" s="682" t="s">
        <v>188</v>
      </c>
      <c r="Q34" s="1041" t="s">
        <v>27</v>
      </c>
      <c r="R34" s="1042"/>
      <c r="S34" s="1047" t="s">
        <v>110</v>
      </c>
      <c r="T34" s="390"/>
      <c r="U34" s="390"/>
      <c r="V34" s="390"/>
      <c r="W34" s="390"/>
      <c r="X34" s="392"/>
      <c r="Y34" s="402"/>
      <c r="Z34" s="390"/>
      <c r="AA34" s="402"/>
      <c r="AB34" s="393"/>
      <c r="AC34" s="393"/>
      <c r="AD34" s="393"/>
      <c r="AE34" s="393"/>
      <c r="AF34" s="1050"/>
      <c r="AG34" s="1050"/>
      <c r="AH34" s="393"/>
      <c r="AI34" s="393"/>
      <c r="AJ34" s="517"/>
      <c r="AK34" s="393"/>
      <c r="AL34" s="393"/>
      <c r="AM34" s="393"/>
      <c r="AN34" s="393"/>
    </row>
    <row r="35" spans="1:40" ht="13.5" customHeight="1" thickBot="1" x14ac:dyDescent="0.2">
      <c r="A35" s="390"/>
      <c r="B35" s="390" t="s">
        <v>449</v>
      </c>
      <c r="C35" s="390"/>
      <c r="D35" s="390"/>
      <c r="E35" s="390"/>
      <c r="F35" s="390"/>
      <c r="G35" s="390"/>
      <c r="H35" s="390"/>
      <c r="I35" s="390"/>
      <c r="J35" s="390"/>
      <c r="K35" s="390"/>
      <c r="L35" s="390"/>
      <c r="M35" s="390"/>
      <c r="N35" s="393"/>
      <c r="O35" s="394"/>
      <c r="P35" s="390" t="s">
        <v>187</v>
      </c>
      <c r="Q35" s="1043"/>
      <c r="R35" s="1044"/>
      <c r="S35" s="1048"/>
      <c r="T35" s="390"/>
      <c r="U35" s="390"/>
      <c r="V35" s="390"/>
      <c r="W35" s="390"/>
      <c r="X35" s="413"/>
      <c r="Y35" s="393"/>
      <c r="Z35" s="393"/>
      <c r="AA35" s="402"/>
      <c r="AB35" s="393"/>
      <c r="AC35" s="393"/>
      <c r="AD35" s="393"/>
      <c r="AE35" s="1051"/>
      <c r="AF35" s="1051"/>
      <c r="AG35" s="518"/>
      <c r="AH35" s="393"/>
      <c r="AI35" s="519"/>
      <c r="AJ35" s="519"/>
      <c r="AK35" s="393"/>
      <c r="AL35" s="393"/>
      <c r="AM35" s="393"/>
      <c r="AN35" s="393"/>
    </row>
    <row r="36" spans="1:40" ht="13.5" customHeight="1" thickBot="1" x14ac:dyDescent="0.2">
      <c r="A36" s="390"/>
      <c r="B36" s="1066"/>
      <c r="C36" s="1067"/>
      <c r="D36" s="1068" t="e">
        <f>B8</f>
        <v>#REF!</v>
      </c>
      <c r="E36" s="1069"/>
      <c r="F36" s="1070" t="e">
        <f>B9</f>
        <v>#REF!</v>
      </c>
      <c r="G36" s="1071"/>
      <c r="H36" s="1072" t="e">
        <f>B10</f>
        <v>#REF!</v>
      </c>
      <c r="I36" s="1073"/>
      <c r="J36" s="1074" t="s">
        <v>110</v>
      </c>
      <c r="K36" s="1075"/>
      <c r="L36" s="1066" t="s">
        <v>122</v>
      </c>
      <c r="M36" s="1076"/>
      <c r="N36" s="29"/>
      <c r="O36" s="30"/>
      <c r="P36" s="683" t="s">
        <v>186</v>
      </c>
      <c r="Q36" s="1043"/>
      <c r="R36" s="1044"/>
      <c r="S36" s="1048"/>
      <c r="T36" s="1052" t="s">
        <v>119</v>
      </c>
      <c r="U36" s="1052"/>
      <c r="V36" s="1052"/>
      <c r="W36" s="1053"/>
      <c r="X36" s="397"/>
      <c r="Y36" s="390"/>
      <c r="Z36" s="393"/>
      <c r="AA36" s="402"/>
      <c r="AB36" s="393"/>
      <c r="AC36" s="393"/>
      <c r="AD36" s="393"/>
      <c r="AE36" s="520"/>
      <c r="AF36" s="521"/>
      <c r="AG36" s="521"/>
      <c r="AH36" s="393"/>
      <c r="AI36" s="519"/>
      <c r="AJ36" s="522"/>
      <c r="AK36" s="393"/>
      <c r="AL36" s="393"/>
      <c r="AM36" s="393"/>
      <c r="AN36" s="393"/>
    </row>
    <row r="37" spans="1:40" ht="13.5" customHeight="1" thickTop="1" x14ac:dyDescent="0.15">
      <c r="A37" s="390"/>
      <c r="B37" s="1060" t="s">
        <v>107</v>
      </c>
      <c r="C37" s="1061"/>
      <c r="D37" s="1062" t="e">
        <f>#REF!/1000</f>
        <v>#REF!</v>
      </c>
      <c r="E37" s="1062"/>
      <c r="F37" s="1062" t="e">
        <f>#REF!/1000</f>
        <v>#REF!</v>
      </c>
      <c r="G37" s="1062"/>
      <c r="H37" s="1062" t="e">
        <f>#REF!/1000</f>
        <v>#REF!</v>
      </c>
      <c r="I37" s="1062"/>
      <c r="J37" s="1062">
        <v>0</v>
      </c>
      <c r="K37" s="1063"/>
      <c r="L37" s="1064" t="e">
        <f>SUM(D37:K37)</f>
        <v>#REF!</v>
      </c>
      <c r="M37" s="1065"/>
      <c r="N37" s="390"/>
      <c r="O37" s="394"/>
      <c r="P37" s="683" t="s">
        <v>185</v>
      </c>
      <c r="Q37" s="1043"/>
      <c r="R37" s="1044"/>
      <c r="S37" s="1048"/>
      <c r="T37" s="1054"/>
      <c r="U37" s="1054"/>
      <c r="V37" s="1054"/>
      <c r="W37" s="1055"/>
      <c r="X37" s="397"/>
      <c r="Y37" s="390"/>
      <c r="Z37" s="393"/>
      <c r="AA37" s="402"/>
      <c r="AB37" s="393"/>
      <c r="AC37" s="393"/>
      <c r="AD37" s="393"/>
      <c r="AE37" s="520"/>
      <c r="AF37" s="1058"/>
      <c r="AG37" s="1058"/>
      <c r="AH37" s="393"/>
      <c r="AI37" s="519"/>
      <c r="AJ37" s="523"/>
      <c r="AK37" s="393"/>
      <c r="AL37" s="390"/>
      <c r="AM37" s="390"/>
      <c r="AN37" s="393"/>
    </row>
    <row r="38" spans="1:40" ht="13.5" customHeight="1" x14ac:dyDescent="0.15">
      <c r="A38" s="390"/>
      <c r="B38" s="1086" t="s">
        <v>105</v>
      </c>
      <c r="C38" s="1087"/>
      <c r="D38" s="1088" t="str">
        <f>IF(ISERROR(#REF!),"-",#REF!)</f>
        <v>-</v>
      </c>
      <c r="E38" s="1089"/>
      <c r="F38" s="1088" t="str">
        <f>IF(ISERROR(#REF!),"-",#REF!)</f>
        <v>-</v>
      </c>
      <c r="G38" s="1089"/>
      <c r="H38" s="1090" t="str">
        <f>IF(ISERROR(#REF!),"-",#REF!)</f>
        <v>-</v>
      </c>
      <c r="I38" s="1091"/>
      <c r="J38" s="1090">
        <v>0</v>
      </c>
      <c r="K38" s="1092"/>
      <c r="L38" s="1093" t="s">
        <v>140</v>
      </c>
      <c r="M38" s="1094"/>
      <c r="N38" s="390"/>
      <c r="O38" s="394"/>
      <c r="P38" s="683" t="s">
        <v>184</v>
      </c>
      <c r="Q38" s="1043"/>
      <c r="R38" s="1044"/>
      <c r="S38" s="1048"/>
      <c r="T38" s="1054"/>
      <c r="U38" s="1054"/>
      <c r="V38" s="1054"/>
      <c r="W38" s="1055"/>
      <c r="X38" s="397"/>
      <c r="Y38" s="390"/>
      <c r="Z38" s="393"/>
      <c r="AA38" s="402"/>
      <c r="AB38" s="393"/>
      <c r="AC38" s="393"/>
      <c r="AD38" s="393"/>
      <c r="AE38" s="521"/>
      <c r="AF38" s="521"/>
      <c r="AG38" s="521"/>
      <c r="AH38" s="393"/>
      <c r="AI38" s="524"/>
      <c r="AJ38" s="524"/>
      <c r="AK38" s="393"/>
      <c r="AL38" s="390"/>
      <c r="AM38" s="390"/>
      <c r="AN38" s="393"/>
    </row>
    <row r="39" spans="1:40" ht="13.5" customHeight="1" thickBot="1" x14ac:dyDescent="0.2">
      <c r="A39" s="390"/>
      <c r="B39" s="1077" t="s">
        <v>106</v>
      </c>
      <c r="C39" s="1078"/>
      <c r="D39" s="1079" t="str">
        <f>IF(ISERROR(#REF!),"-",#REF!)</f>
        <v>-</v>
      </c>
      <c r="E39" s="1080"/>
      <c r="F39" s="1079" t="str">
        <f>IF(ISERROR(#REF!),"-",#REF!)</f>
        <v>-</v>
      </c>
      <c r="G39" s="1080"/>
      <c r="H39" s="1081" t="str">
        <f>IF(ISERROR(#REF!),"-",#REF!)</f>
        <v>-</v>
      </c>
      <c r="I39" s="1082"/>
      <c r="J39" s="1081">
        <v>0</v>
      </c>
      <c r="K39" s="1083"/>
      <c r="L39" s="1084" t="s">
        <v>140</v>
      </c>
      <c r="M39" s="1085"/>
      <c r="O39" s="21"/>
      <c r="P39" s="684" t="s">
        <v>183</v>
      </c>
      <c r="Q39" s="1043"/>
      <c r="R39" s="1044"/>
      <c r="S39" s="1048"/>
      <c r="T39" s="1054"/>
      <c r="U39" s="1054"/>
      <c r="V39" s="1054"/>
      <c r="W39" s="1055"/>
      <c r="X39" s="392"/>
      <c r="Y39" s="486"/>
      <c r="Z39" s="393"/>
      <c r="AA39" s="402"/>
      <c r="AB39" s="393"/>
      <c r="AC39" s="393"/>
      <c r="AD39" s="393"/>
      <c r="AE39" s="521"/>
      <c r="AF39" s="521"/>
      <c r="AG39" s="521"/>
      <c r="AH39" s="393"/>
      <c r="AI39" s="524"/>
      <c r="AJ39" s="524"/>
      <c r="AK39" s="390"/>
      <c r="AL39" s="390"/>
      <c r="AM39" s="412"/>
      <c r="AN39" s="393"/>
    </row>
    <row r="40" spans="1:40" ht="13.5" customHeight="1" x14ac:dyDescent="0.15">
      <c r="A40" s="390"/>
      <c r="B40" s="390"/>
      <c r="C40" s="390"/>
      <c r="D40" s="390"/>
      <c r="E40" s="390"/>
      <c r="F40" s="390"/>
      <c r="G40" s="390"/>
      <c r="H40" s="390"/>
      <c r="I40" s="390"/>
      <c r="J40" s="390"/>
      <c r="K40" s="390"/>
      <c r="L40" s="390"/>
      <c r="M40" s="390"/>
      <c r="N40" s="390"/>
      <c r="O40" s="399"/>
      <c r="P40" s="485" t="s">
        <v>182</v>
      </c>
      <c r="Q40" s="1043"/>
      <c r="R40" s="1044"/>
      <c r="S40" s="1048"/>
      <c r="T40" s="1054"/>
      <c r="U40" s="1054"/>
      <c r="V40" s="1054"/>
      <c r="W40" s="1055"/>
      <c r="X40" s="392"/>
      <c r="Y40" s="485"/>
      <c r="Z40" s="390"/>
      <c r="AA40" s="390"/>
      <c r="AB40" s="393"/>
      <c r="AC40" s="393"/>
      <c r="AD40" s="393"/>
      <c r="AE40" s="520"/>
      <c r="AF40" s="520"/>
      <c r="AG40" s="520"/>
      <c r="AH40" s="393"/>
      <c r="AI40" s="1103"/>
      <c r="AJ40" s="1103"/>
      <c r="AK40" s="390"/>
      <c r="AL40" s="524"/>
      <c r="AM40" s="524"/>
      <c r="AN40" s="393"/>
    </row>
    <row r="41" spans="1:40" ht="13.5" customHeight="1" x14ac:dyDescent="0.15">
      <c r="A41" s="390"/>
      <c r="B41" s="1031"/>
      <c r="C41" s="1031"/>
      <c r="D41" s="1059"/>
      <c r="E41" s="1059"/>
      <c r="F41" s="1059"/>
      <c r="G41" s="1059"/>
      <c r="H41" s="1059"/>
      <c r="I41" s="1059"/>
      <c r="J41" s="1059"/>
      <c r="K41" s="1059"/>
      <c r="L41" s="1059"/>
      <c r="M41" s="1059"/>
      <c r="N41" s="390"/>
      <c r="O41" s="399"/>
      <c r="P41" s="683" t="s">
        <v>181</v>
      </c>
      <c r="Q41" s="1043"/>
      <c r="R41" s="1044"/>
      <c r="S41" s="1048"/>
      <c r="T41" s="1054"/>
      <c r="U41" s="1054"/>
      <c r="V41" s="1054"/>
      <c r="W41" s="1055"/>
      <c r="X41" s="392"/>
      <c r="Y41" s="487"/>
      <c r="Z41" s="390"/>
      <c r="AA41" s="390"/>
      <c r="AB41" s="393"/>
      <c r="AC41" s="393"/>
      <c r="AD41" s="393"/>
      <c r="AE41" s="520"/>
      <c r="AF41" s="1058"/>
      <c r="AG41" s="1058"/>
      <c r="AH41" s="393"/>
      <c r="AI41" s="525"/>
      <c r="AJ41" s="526"/>
      <c r="AK41" s="393"/>
      <c r="AL41" s="524"/>
      <c r="AM41" s="527"/>
      <c r="AN41" s="390"/>
    </row>
    <row r="42" spans="1:40" ht="13.5" customHeight="1" x14ac:dyDescent="0.15">
      <c r="A42" s="390"/>
      <c r="B42" s="390"/>
      <c r="C42" s="390"/>
      <c r="D42" s="390"/>
      <c r="E42" s="390"/>
      <c r="F42" s="390"/>
      <c r="G42" s="390"/>
      <c r="H42" s="390"/>
      <c r="I42" s="390"/>
      <c r="J42" s="390"/>
      <c r="K42" s="390"/>
      <c r="L42" s="390"/>
      <c r="M42" s="390"/>
      <c r="N42" s="390"/>
      <c r="O42" s="399"/>
      <c r="P42" s="685" t="s">
        <v>180</v>
      </c>
      <c r="Q42" s="1043"/>
      <c r="R42" s="1044"/>
      <c r="S42" s="1048"/>
      <c r="T42" s="1054"/>
      <c r="U42" s="1054"/>
      <c r="V42" s="1054"/>
      <c r="W42" s="1055"/>
      <c r="X42" s="392"/>
      <c r="Y42" s="485"/>
      <c r="Z42" s="489"/>
      <c r="AA42" s="390"/>
      <c r="AB42" s="390"/>
      <c r="AC42" s="393"/>
      <c r="AD42" s="393"/>
      <c r="AE42" s="520"/>
      <c r="AF42" s="520"/>
      <c r="AG42" s="520"/>
      <c r="AH42" s="393"/>
      <c r="AI42" s="525"/>
      <c r="AJ42" s="525"/>
      <c r="AK42" s="393"/>
      <c r="AL42" s="528"/>
      <c r="AM42" s="528"/>
      <c r="AN42" s="390"/>
    </row>
    <row r="43" spans="1:40" ht="13.5" customHeight="1" x14ac:dyDescent="0.15">
      <c r="A43" s="390"/>
      <c r="B43" s="390"/>
      <c r="C43" s="390"/>
      <c r="D43" s="390"/>
      <c r="E43" s="390"/>
      <c r="F43" s="390"/>
      <c r="G43" s="390"/>
      <c r="H43" s="390"/>
      <c r="I43" s="390"/>
      <c r="J43" s="390"/>
      <c r="K43" s="390"/>
      <c r="L43" s="390"/>
      <c r="M43" s="390"/>
      <c r="N43" s="390"/>
      <c r="O43" s="399"/>
      <c r="P43" s="540" t="s">
        <v>124</v>
      </c>
      <c r="Q43" s="1045"/>
      <c r="R43" s="1046"/>
      <c r="S43" s="1049"/>
      <c r="T43" s="1056"/>
      <c r="U43" s="1056"/>
      <c r="V43" s="1056"/>
      <c r="W43" s="1057"/>
      <c r="X43" s="392"/>
      <c r="Y43" s="485"/>
      <c r="Z43" s="404"/>
      <c r="AA43" s="390"/>
      <c r="AB43" s="390"/>
      <c r="AC43" s="393"/>
      <c r="AD43" s="393"/>
      <c r="AE43" s="521"/>
      <c r="AF43" s="521"/>
      <c r="AG43" s="521"/>
      <c r="AH43" s="393"/>
      <c r="AI43" s="525"/>
      <c r="AJ43" s="525"/>
      <c r="AK43" s="393"/>
      <c r="AL43" s="528"/>
      <c r="AM43" s="528"/>
      <c r="AN43" s="390"/>
    </row>
    <row r="44" spans="1:40" ht="13.5" customHeight="1" x14ac:dyDescent="0.15">
      <c r="A44" s="390"/>
      <c r="B44" s="390"/>
      <c r="C44" s="390"/>
      <c r="D44" s="390"/>
      <c r="E44" s="390"/>
      <c r="F44" s="390"/>
      <c r="G44" s="390"/>
      <c r="H44" s="390"/>
      <c r="I44" s="390"/>
      <c r="J44" s="390"/>
      <c r="K44" s="390"/>
      <c r="L44" s="390"/>
      <c r="M44" s="390"/>
      <c r="N44" s="390"/>
      <c r="O44" s="399"/>
      <c r="P44" s="485" t="s">
        <v>125</v>
      </c>
      <c r="Q44" s="1097" t="s">
        <v>108</v>
      </c>
      <c r="R44" s="1098"/>
      <c r="S44" s="1098"/>
      <c r="T44" s="1098"/>
      <c r="U44" s="1098"/>
      <c r="V44" s="1098"/>
      <c r="W44" s="1099"/>
      <c r="X44" s="392"/>
      <c r="Y44" s="487"/>
      <c r="Z44" s="404"/>
      <c r="AA44" s="390"/>
      <c r="AB44" s="390"/>
      <c r="AC44" s="393"/>
      <c r="AD44" s="393"/>
      <c r="AE44" s="521"/>
      <c r="AF44" s="521"/>
      <c r="AG44" s="521"/>
      <c r="AH44" s="393"/>
      <c r="AI44" s="525"/>
      <c r="AJ44" s="525"/>
      <c r="AK44" s="390"/>
      <c r="AL44" s="529"/>
      <c r="AM44" s="529"/>
      <c r="AN44" s="404"/>
    </row>
    <row r="45" spans="1:40" ht="13.5" customHeight="1" thickBot="1" x14ac:dyDescent="0.2">
      <c r="A45" s="390"/>
      <c r="B45" s="390"/>
      <c r="C45" s="390"/>
      <c r="D45" s="390"/>
      <c r="E45" s="390"/>
      <c r="F45" s="390"/>
      <c r="G45" s="390"/>
      <c r="H45" s="390"/>
      <c r="I45" s="390"/>
      <c r="J45" s="390"/>
      <c r="K45" s="390"/>
      <c r="L45" s="390"/>
      <c r="M45" s="390"/>
      <c r="N45" s="390"/>
      <c r="O45" s="399"/>
      <c r="P45" s="541" t="s">
        <v>116</v>
      </c>
      <c r="Q45" s="1100"/>
      <c r="R45" s="1101"/>
      <c r="S45" s="1101"/>
      <c r="T45" s="1101"/>
      <c r="U45" s="1101"/>
      <c r="V45" s="1101"/>
      <c r="W45" s="1102"/>
      <c r="X45" s="392"/>
      <c r="Y45" s="485"/>
      <c r="Z45" s="404"/>
      <c r="AA45" s="390"/>
      <c r="AB45" s="390"/>
      <c r="AC45" s="393"/>
      <c r="AD45" s="393"/>
      <c r="AE45" s="520"/>
      <c r="AF45" s="520"/>
      <c r="AG45" s="520"/>
      <c r="AH45" s="393"/>
      <c r="AI45" s="525"/>
      <c r="AJ45" s="525"/>
      <c r="AK45" s="393"/>
      <c r="AL45" s="524"/>
      <c r="AM45" s="524"/>
      <c r="AN45" s="390"/>
    </row>
    <row r="46" spans="1:40" ht="13.5" customHeight="1" x14ac:dyDescent="0.15">
      <c r="A46" s="390"/>
      <c r="B46" s="390"/>
      <c r="C46" s="390"/>
      <c r="D46" s="390"/>
      <c r="E46" s="390"/>
      <c r="F46" s="390"/>
      <c r="G46" s="390"/>
      <c r="H46" s="390"/>
      <c r="I46" s="390"/>
      <c r="J46" s="390"/>
      <c r="K46" s="390"/>
      <c r="L46" s="390"/>
      <c r="M46" s="390"/>
      <c r="N46" s="390"/>
      <c r="O46" s="414"/>
      <c r="P46" s="395"/>
      <c r="Q46" s="395"/>
      <c r="R46" s="395"/>
      <c r="S46" s="395"/>
      <c r="T46" s="395"/>
      <c r="U46" s="395"/>
      <c r="V46" s="395"/>
      <c r="W46" s="395"/>
      <c r="X46" s="395"/>
      <c r="Y46" s="488"/>
      <c r="Z46" s="404"/>
      <c r="AA46" s="390"/>
      <c r="AB46" s="390"/>
      <c r="AC46" s="393"/>
      <c r="AD46" s="393"/>
      <c r="AE46" s="520"/>
      <c r="AF46" s="520"/>
      <c r="AG46" s="520"/>
      <c r="AH46" s="393"/>
      <c r="AI46" s="525"/>
      <c r="AJ46" s="525"/>
      <c r="AK46" s="393"/>
      <c r="AL46" s="524"/>
      <c r="AM46" s="524"/>
      <c r="AN46" s="404"/>
    </row>
    <row r="47" spans="1:40" ht="13.5" customHeight="1" x14ac:dyDescent="0.15">
      <c r="A47" s="390"/>
      <c r="B47" s="390"/>
      <c r="C47" s="390"/>
      <c r="D47" s="390"/>
      <c r="E47" s="390"/>
      <c r="F47" s="390"/>
      <c r="G47" s="390"/>
      <c r="H47" s="390"/>
      <c r="I47" s="390"/>
      <c r="J47" s="390"/>
      <c r="K47" s="390"/>
      <c r="L47" s="390"/>
      <c r="M47" s="390"/>
      <c r="N47" s="390"/>
      <c r="O47" s="390"/>
      <c r="P47" s="390"/>
      <c r="Q47" s="390"/>
      <c r="R47" s="390"/>
      <c r="S47" s="390"/>
      <c r="T47" s="390"/>
      <c r="U47" s="390"/>
      <c r="V47" s="390"/>
      <c r="W47" s="390"/>
      <c r="X47" s="390"/>
      <c r="Y47" s="485"/>
      <c r="Z47" s="404"/>
      <c r="AA47" s="390"/>
      <c r="AB47" s="390"/>
      <c r="AC47" s="393"/>
      <c r="AD47" s="393"/>
      <c r="AE47" s="520"/>
      <c r="AF47" s="520"/>
      <c r="AG47" s="520"/>
      <c r="AH47" s="393"/>
      <c r="AI47" s="525"/>
      <c r="AJ47" s="525"/>
      <c r="AK47" s="393"/>
      <c r="AL47" s="524"/>
      <c r="AM47" s="524"/>
      <c r="AN47" s="404"/>
    </row>
    <row r="48" spans="1:40" ht="13.5" customHeight="1" x14ac:dyDescent="0.15">
      <c r="A48" s="390"/>
      <c r="B48" s="390"/>
      <c r="C48" s="390"/>
      <c r="D48" s="390"/>
      <c r="E48" s="390"/>
      <c r="F48" s="390"/>
      <c r="G48" s="390"/>
      <c r="H48" s="390"/>
      <c r="I48" s="390"/>
      <c r="J48" s="390"/>
      <c r="K48" s="390"/>
      <c r="L48" s="390"/>
      <c r="M48" s="390"/>
      <c r="N48" s="390"/>
      <c r="O48" s="390"/>
      <c r="P48" s="390"/>
      <c r="Q48" s="390"/>
      <c r="R48" s="390"/>
      <c r="S48" s="390"/>
      <c r="T48" s="390"/>
      <c r="U48" s="390"/>
      <c r="V48" s="390"/>
      <c r="W48" s="390"/>
      <c r="X48" s="390"/>
      <c r="Y48" s="485"/>
      <c r="Z48" s="404"/>
      <c r="AA48" s="390"/>
      <c r="AB48" s="390"/>
      <c r="AC48" s="393"/>
      <c r="AD48" s="393"/>
      <c r="AE48" s="520"/>
      <c r="AF48" s="520"/>
      <c r="AG48" s="520"/>
      <c r="AH48" s="393"/>
      <c r="AI48" s="525"/>
      <c r="AJ48" s="525"/>
      <c r="AK48" s="393"/>
      <c r="AL48" s="524"/>
      <c r="AM48" s="524"/>
      <c r="AN48" s="404"/>
    </row>
    <row r="49" spans="1:40" ht="13.5" customHeight="1" x14ac:dyDescent="0.15">
      <c r="A49" s="390"/>
      <c r="B49" s="1031"/>
      <c r="C49" s="1031"/>
      <c r="D49" s="1031"/>
      <c r="E49" s="1031"/>
      <c r="F49" s="1031"/>
      <c r="G49" s="1031"/>
      <c r="H49" s="1031"/>
      <c r="I49" s="1031"/>
      <c r="J49" s="1031"/>
      <c r="K49" s="1031"/>
      <c r="L49" s="1031"/>
      <c r="M49" s="1031"/>
      <c r="N49" s="390"/>
      <c r="O49" s="390"/>
      <c r="P49" s="390"/>
      <c r="Q49" s="390"/>
      <c r="R49" s="390"/>
      <c r="S49" s="390"/>
      <c r="T49" s="390"/>
      <c r="U49" s="390"/>
      <c r="V49" s="390"/>
      <c r="W49" s="390"/>
      <c r="X49" s="390"/>
      <c r="Y49" s="485"/>
      <c r="Z49" s="404"/>
      <c r="AA49" s="390"/>
      <c r="AB49" s="390"/>
      <c r="AC49" s="393"/>
      <c r="AD49" s="393"/>
      <c r="AE49" s="520"/>
      <c r="AF49" s="520"/>
      <c r="AG49" s="520"/>
      <c r="AH49" s="393"/>
      <c r="AI49" s="525"/>
      <c r="AJ49" s="525"/>
      <c r="AK49" s="393"/>
      <c r="AL49" s="524"/>
      <c r="AM49" s="524"/>
      <c r="AN49" s="404"/>
    </row>
    <row r="50" spans="1:40" ht="13.5" customHeight="1" x14ac:dyDescent="0.15">
      <c r="A50" s="390"/>
      <c r="B50" s="1031"/>
      <c r="C50" s="1031"/>
      <c r="D50" s="1059"/>
      <c r="E50" s="1059"/>
      <c r="F50" s="1059"/>
      <c r="G50" s="1059"/>
      <c r="H50" s="1059"/>
      <c r="I50" s="1059"/>
      <c r="J50" s="1059"/>
      <c r="K50" s="1059"/>
      <c r="L50" s="1104"/>
      <c r="M50" s="1031"/>
      <c r="N50" s="390"/>
      <c r="O50" s="390"/>
      <c r="P50" s="390"/>
      <c r="Q50" s="390"/>
      <c r="R50" s="390"/>
      <c r="S50" s="390"/>
      <c r="T50" s="390"/>
      <c r="U50" s="390"/>
      <c r="V50" s="390"/>
      <c r="W50" s="390"/>
      <c r="X50" s="390"/>
      <c r="Y50" s="487"/>
      <c r="Z50" s="404"/>
      <c r="AA50" s="390"/>
      <c r="AB50" s="390"/>
      <c r="AC50" s="393"/>
      <c r="AD50" s="393"/>
      <c r="AE50" s="521"/>
      <c r="AF50" s="521"/>
      <c r="AG50" s="521"/>
      <c r="AH50" s="393"/>
      <c r="AI50" s="530"/>
      <c r="AJ50" s="530"/>
      <c r="AK50" s="393"/>
      <c r="AL50" s="524"/>
      <c r="AM50" s="524"/>
      <c r="AN50" s="404"/>
    </row>
    <row r="51" spans="1:40" x14ac:dyDescent="0.15">
      <c r="A51" s="390"/>
      <c r="B51" s="1031"/>
      <c r="C51" s="1031"/>
      <c r="D51" s="1059"/>
      <c r="E51" s="1059"/>
      <c r="F51" s="1059"/>
      <c r="G51" s="1059"/>
      <c r="H51" s="1108"/>
      <c r="I51" s="1108"/>
      <c r="J51" s="1059"/>
      <c r="K51" s="1059"/>
      <c r="L51" s="1031"/>
      <c r="M51" s="1031"/>
      <c r="N51" s="390"/>
      <c r="Z51" s="404"/>
      <c r="AA51" s="390"/>
      <c r="AB51" s="390"/>
      <c r="AC51" s="393"/>
      <c r="AD51" s="393"/>
      <c r="AE51" s="521"/>
      <c r="AF51" s="521"/>
      <c r="AG51" s="521"/>
      <c r="AH51" s="393"/>
      <c r="AI51" s="530"/>
      <c r="AJ51" s="530"/>
      <c r="AK51" s="393"/>
      <c r="AL51" s="524"/>
      <c r="AM51" s="524"/>
      <c r="AN51" s="404"/>
    </row>
    <row r="52" spans="1:40" ht="13.5" customHeight="1" x14ac:dyDescent="0.15">
      <c r="A52" s="390"/>
      <c r="B52" s="1105"/>
      <c r="C52" s="1105"/>
      <c r="D52" s="1106"/>
      <c r="E52" s="1106"/>
      <c r="F52" s="1106"/>
      <c r="G52" s="1106"/>
      <c r="H52" s="1107"/>
      <c r="I52" s="1107"/>
      <c r="J52" s="1106"/>
      <c r="K52" s="1106"/>
      <c r="L52" s="1105"/>
      <c r="M52" s="1105"/>
      <c r="Z52" s="93"/>
      <c r="AA52" s="390"/>
      <c r="AB52" s="531"/>
      <c r="AC52" s="532"/>
      <c r="AD52" s="393"/>
      <c r="AE52" s="1095"/>
      <c r="AF52" s="1095"/>
      <c r="AG52" s="533"/>
      <c r="AH52" s="393"/>
      <c r="AI52" s="525"/>
      <c r="AJ52" s="525"/>
      <c r="AK52" s="393"/>
      <c r="AL52" s="524"/>
      <c r="AM52" s="524"/>
      <c r="AN52" s="404"/>
    </row>
    <row r="53" spans="1:40" ht="13.5" customHeight="1" x14ac:dyDescent="0.15">
      <c r="A53" s="390"/>
      <c r="Z53" s="93"/>
      <c r="AA53" s="390"/>
      <c r="AB53" s="531"/>
      <c r="AC53" s="534"/>
      <c r="AD53" s="393"/>
      <c r="AE53" s="390"/>
      <c r="AF53" s="390"/>
      <c r="AG53" s="390"/>
      <c r="AH53" s="393"/>
      <c r="AI53" s="535"/>
      <c r="AJ53" s="536"/>
      <c r="AK53" s="390"/>
      <c r="AL53" s="524"/>
      <c r="AM53" s="524"/>
      <c r="AN53" s="404"/>
    </row>
    <row r="54" spans="1:40" x14ac:dyDescent="0.15">
      <c r="A54" s="390"/>
      <c r="Z54" s="93"/>
      <c r="AA54" s="390"/>
      <c r="AB54" s="531"/>
      <c r="AC54" s="532"/>
      <c r="AD54" s="393"/>
      <c r="AE54" s="390"/>
      <c r="AF54" s="390"/>
      <c r="AG54" s="390"/>
      <c r="AH54" s="393"/>
      <c r="AI54" s="531"/>
      <c r="AJ54" s="531"/>
      <c r="AK54" s="393"/>
      <c r="AL54" s="524"/>
      <c r="AM54" s="524"/>
      <c r="AN54" s="404"/>
    </row>
    <row r="55" spans="1:40" ht="13.5" customHeight="1" x14ac:dyDescent="0.15">
      <c r="A55" s="390"/>
      <c r="Z55" s="93"/>
      <c r="AA55" s="390"/>
      <c r="AB55" s="531"/>
      <c r="AC55" s="532"/>
      <c r="AD55" s="390"/>
      <c r="AE55" s="390"/>
      <c r="AF55" s="390"/>
      <c r="AG55" s="390"/>
      <c r="AH55" s="390"/>
      <c r="AI55" s="531"/>
      <c r="AJ55" s="531"/>
      <c r="AK55" s="390"/>
      <c r="AL55" s="1096"/>
      <c r="AM55" s="1096"/>
      <c r="AN55" s="390"/>
    </row>
    <row r="56" spans="1:40" x14ac:dyDescent="0.15">
      <c r="A56" s="390"/>
      <c r="X56" s="93"/>
      <c r="Z56" s="93"/>
      <c r="AA56" s="390"/>
      <c r="AB56" s="531"/>
      <c r="AC56" s="534"/>
      <c r="AD56" s="390"/>
      <c r="AE56" s="390"/>
      <c r="AF56" s="390"/>
      <c r="AG56" s="390"/>
      <c r="AH56" s="390"/>
      <c r="AI56" s="535"/>
      <c r="AJ56" s="535"/>
      <c r="AK56" s="390"/>
      <c r="AL56" s="537"/>
      <c r="AM56" s="538"/>
      <c r="AN56" s="402"/>
    </row>
    <row r="57" spans="1:40" x14ac:dyDescent="0.15">
      <c r="A57" s="390"/>
      <c r="X57" s="86"/>
      <c r="Y57" s="33"/>
      <c r="Z57" s="86"/>
      <c r="AA57" s="390"/>
      <c r="AB57" s="390"/>
      <c r="AC57" s="393"/>
      <c r="AD57" s="390"/>
      <c r="AE57" s="390"/>
      <c r="AF57" s="390"/>
      <c r="AG57" s="390"/>
      <c r="AH57" s="390"/>
      <c r="AI57" s="390"/>
      <c r="AJ57" s="390"/>
      <c r="AK57" s="390"/>
      <c r="AL57" s="390"/>
      <c r="AM57" s="539"/>
      <c r="AN57" s="402"/>
    </row>
    <row r="58" spans="1:40" x14ac:dyDescent="0.15">
      <c r="A58" s="390"/>
      <c r="X58" s="86"/>
      <c r="Y58" s="33"/>
      <c r="Z58" s="86"/>
      <c r="AA58" s="390"/>
      <c r="AB58" s="390"/>
      <c r="AC58" s="393"/>
      <c r="AD58" s="390"/>
      <c r="AE58" s="390"/>
      <c r="AF58" s="390"/>
      <c r="AG58" s="390"/>
      <c r="AH58" s="390"/>
      <c r="AI58" s="390"/>
      <c r="AJ58" s="390"/>
      <c r="AK58" s="390"/>
      <c r="AL58" s="390"/>
      <c r="AM58" s="539"/>
      <c r="AN58" s="402"/>
    </row>
    <row r="59" spans="1:40" x14ac:dyDescent="0.15">
      <c r="A59" s="390"/>
      <c r="X59" s="86"/>
      <c r="Y59" s="34"/>
      <c r="Z59" s="86"/>
    </row>
    <row r="60" spans="1:40" x14ac:dyDescent="0.15">
      <c r="A60" s="390"/>
    </row>
    <row r="61" spans="1:40" x14ac:dyDescent="0.15">
      <c r="A61" s="390"/>
    </row>
    <row r="62" spans="1:40" x14ac:dyDescent="0.15">
      <c r="A62" s="390"/>
    </row>
    <row r="63" spans="1:40" x14ac:dyDescent="0.15">
      <c r="A63" s="390"/>
    </row>
    <row r="87" spans="2:13" x14ac:dyDescent="0.15">
      <c r="B87" s="29"/>
      <c r="C87" s="29"/>
      <c r="D87" s="29"/>
      <c r="F87" s="29"/>
      <c r="G87" s="29"/>
      <c r="H87" s="29"/>
      <c r="I87" s="29"/>
    </row>
    <row r="89" spans="2:13" x14ac:dyDescent="0.15">
      <c r="B89" s="1113"/>
      <c r="C89" s="1113"/>
      <c r="D89" s="23"/>
      <c r="E89" s="705"/>
      <c r="F89" s="705"/>
      <c r="G89" s="705"/>
      <c r="H89" s="705"/>
      <c r="I89" s="705"/>
      <c r="J89" s="705"/>
      <c r="K89" s="705"/>
      <c r="L89" s="705"/>
      <c r="M89" s="705"/>
    </row>
    <row r="90" spans="2:13" x14ac:dyDescent="0.15">
      <c r="B90" s="1114"/>
      <c r="C90" s="1114"/>
      <c r="E90" s="681"/>
      <c r="F90" s="32"/>
      <c r="G90" s="706"/>
      <c r="H90" s="32"/>
      <c r="I90" s="681"/>
      <c r="J90" s="32"/>
      <c r="K90" s="681"/>
      <c r="L90" s="32"/>
      <c r="M90" s="681"/>
    </row>
    <row r="91" spans="2:13" x14ac:dyDescent="0.15">
      <c r="B91" s="1115"/>
      <c r="C91" s="1115"/>
      <c r="D91" s="32"/>
      <c r="E91" s="32"/>
      <c r="F91" s="32"/>
      <c r="G91" s="32"/>
      <c r="H91" s="32"/>
      <c r="I91" s="32"/>
      <c r="J91" s="32"/>
      <c r="K91" s="708"/>
      <c r="L91" s="32"/>
      <c r="M91" s="680"/>
    </row>
    <row r="94" spans="2:13" x14ac:dyDescent="0.15">
      <c r="B94" s="13"/>
      <c r="C94" s="705"/>
    </row>
    <row r="95" spans="2:13" x14ac:dyDescent="0.15">
      <c r="B95" s="1114"/>
      <c r="C95" s="1114"/>
      <c r="E95" s="681"/>
      <c r="G95" s="1116"/>
      <c r="H95" s="1116"/>
    </row>
    <row r="96" spans="2:13" x14ac:dyDescent="0.15">
      <c r="B96" s="1115"/>
      <c r="C96" s="1115"/>
      <c r="D96" s="32"/>
      <c r="E96" s="707"/>
      <c r="F96" s="32"/>
      <c r="G96" s="1117"/>
      <c r="H96" s="1117"/>
      <c r="L96" s="706"/>
    </row>
    <row r="97" spans="2:13" x14ac:dyDescent="0.15">
      <c r="L97" s="32"/>
    </row>
    <row r="99" spans="2:13" x14ac:dyDescent="0.15">
      <c r="C99" s="705"/>
      <c r="D99" s="13"/>
      <c r="E99" s="13"/>
      <c r="F99" s="13"/>
      <c r="G99" s="705"/>
      <c r="H99" s="13"/>
      <c r="I99" s="13"/>
      <c r="J99" s="705"/>
    </row>
    <row r="100" spans="2:13" x14ac:dyDescent="0.15">
      <c r="B100" s="1054"/>
      <c r="C100" s="1054"/>
      <c r="D100" s="32"/>
      <c r="E100" s="681"/>
      <c r="F100" s="32"/>
      <c r="G100" s="681"/>
      <c r="H100" s="32"/>
      <c r="I100" s="1109"/>
      <c r="J100" s="1109"/>
      <c r="L100" s="1110"/>
      <c r="M100" s="1110"/>
    </row>
    <row r="101" spans="2:13" x14ac:dyDescent="0.15">
      <c r="B101" s="1111"/>
      <c r="C101" s="1111"/>
      <c r="D101" s="32"/>
      <c r="E101" s="707"/>
      <c r="F101" s="32"/>
      <c r="G101" s="32"/>
      <c r="H101" s="32"/>
      <c r="I101" s="1112"/>
      <c r="J101" s="1112"/>
      <c r="L101" s="1111"/>
      <c r="M101" s="1111"/>
    </row>
    <row r="104" spans="2:13" x14ac:dyDescent="0.15">
      <c r="B104" s="13"/>
      <c r="C104" s="705"/>
      <c r="D104" s="13"/>
      <c r="E104" s="705"/>
      <c r="F104" s="13"/>
      <c r="G104" s="705"/>
      <c r="H104" s="13"/>
      <c r="I104" s="13"/>
      <c r="J104" s="705"/>
    </row>
    <row r="105" spans="2:13" x14ac:dyDescent="0.15">
      <c r="B105" s="1098"/>
      <c r="C105" s="1098"/>
      <c r="E105" s="681"/>
      <c r="G105" s="681"/>
      <c r="I105" s="1119"/>
      <c r="J105" s="1119"/>
    </row>
    <row r="106" spans="2:13" x14ac:dyDescent="0.15">
      <c r="B106" s="1111"/>
      <c r="C106" s="1111"/>
      <c r="D106" s="32"/>
      <c r="E106" s="32"/>
      <c r="F106" s="32"/>
      <c r="G106" s="32"/>
      <c r="H106" s="32"/>
      <c r="I106" s="1112"/>
      <c r="J106" s="1105"/>
    </row>
    <row r="109" spans="2:13" x14ac:dyDescent="0.15">
      <c r="B109" s="13"/>
      <c r="C109" s="705"/>
      <c r="D109" s="705"/>
      <c r="E109" s="705"/>
      <c r="F109" s="705"/>
      <c r="G109" s="705"/>
      <c r="H109" s="705"/>
      <c r="I109" s="13"/>
      <c r="J109" s="13"/>
    </row>
    <row r="110" spans="2:13" x14ac:dyDescent="0.15">
      <c r="B110" s="1122"/>
      <c r="C110" s="1122"/>
      <c r="E110" s="710"/>
      <c r="G110" s="1114"/>
      <c r="H110" s="1114"/>
    </row>
    <row r="111" spans="2:13" x14ac:dyDescent="0.15">
      <c r="B111" s="1115"/>
      <c r="C111" s="1105"/>
      <c r="D111" s="32"/>
      <c r="E111" s="707"/>
      <c r="F111" s="32"/>
      <c r="G111" s="1115"/>
      <c r="H111" s="1115"/>
    </row>
    <row r="112" spans="2:13" x14ac:dyDescent="0.15">
      <c r="B112" s="13"/>
    </row>
    <row r="113" spans="2:13" x14ac:dyDescent="0.15">
      <c r="B113" s="13"/>
    </row>
    <row r="117" spans="2:13" x14ac:dyDescent="0.15">
      <c r="B117" s="29"/>
      <c r="C117" s="25"/>
      <c r="D117" s="25"/>
      <c r="E117" s="25"/>
      <c r="F117" s="25"/>
      <c r="G117" s="25"/>
      <c r="H117" s="25"/>
      <c r="I117" s="25"/>
      <c r="J117" s="25"/>
      <c r="K117" s="25"/>
    </row>
    <row r="118" spans="2:13" x14ac:dyDescent="0.15">
      <c r="B118" s="1118"/>
      <c r="C118" s="1118"/>
      <c r="D118" s="711"/>
      <c r="E118" s="709"/>
      <c r="F118" s="711"/>
      <c r="G118" s="1119"/>
      <c r="H118" s="1119"/>
      <c r="I118" s="29"/>
      <c r="J118" s="1121"/>
      <c r="K118" s="1121"/>
    </row>
    <row r="119" spans="2:13" x14ac:dyDescent="0.15">
      <c r="B119" s="661"/>
      <c r="C119" s="661"/>
      <c r="G119" s="661"/>
      <c r="J119" s="389"/>
      <c r="K119" s="389"/>
    </row>
    <row r="120" spans="2:13" x14ac:dyDescent="0.15">
      <c r="B120" s="661"/>
      <c r="C120" s="661"/>
      <c r="J120" s="389"/>
      <c r="K120" s="389"/>
    </row>
    <row r="121" spans="2:13" x14ac:dyDescent="0.15">
      <c r="B121" s="29"/>
      <c r="C121" s="29"/>
      <c r="D121" s="29"/>
      <c r="F121" s="29"/>
      <c r="H121" s="29"/>
      <c r="I121" s="29"/>
      <c r="J121" s="29"/>
      <c r="K121" s="29"/>
    </row>
    <row r="123" spans="2:13" x14ac:dyDescent="0.15">
      <c r="F123" s="25"/>
      <c r="H123" s="25"/>
      <c r="J123" s="25"/>
      <c r="M123" s="25"/>
    </row>
    <row r="124" spans="2:13" x14ac:dyDescent="0.15">
      <c r="B124" s="712"/>
      <c r="D124" s="713"/>
      <c r="F124" s="713"/>
      <c r="H124" s="713"/>
      <c r="J124" s="713"/>
      <c r="L124" s="1054"/>
      <c r="M124" s="1054"/>
    </row>
    <row r="125" spans="2:13" x14ac:dyDescent="0.15">
      <c r="B125" s="1105"/>
      <c r="C125" s="1105"/>
      <c r="D125" s="1105"/>
      <c r="E125" s="1105"/>
      <c r="F125" s="1105"/>
      <c r="G125" s="1105"/>
      <c r="H125" s="1120"/>
      <c r="I125" s="1105"/>
      <c r="J125" s="1124"/>
      <c r="K125" s="1105"/>
      <c r="L125" s="1112"/>
      <c r="M125" s="1112"/>
    </row>
    <row r="126" spans="2:13" x14ac:dyDescent="0.15">
      <c r="B126" s="1105"/>
      <c r="C126" s="1105"/>
      <c r="D126" s="1105"/>
      <c r="E126" s="1105"/>
      <c r="F126" s="1105"/>
      <c r="G126" s="1105"/>
      <c r="H126" s="1105"/>
      <c r="I126" s="1105"/>
      <c r="J126" s="1105"/>
      <c r="K126" s="1105"/>
      <c r="L126" s="1112"/>
      <c r="M126" s="1112"/>
    </row>
    <row r="128" spans="2:13" x14ac:dyDescent="0.15">
      <c r="B128" s="29"/>
      <c r="C128" s="25"/>
      <c r="D128" s="25"/>
      <c r="E128" s="25"/>
      <c r="F128" s="25"/>
      <c r="G128" s="25"/>
      <c r="H128" s="25"/>
      <c r="I128" s="25"/>
      <c r="J128" s="25"/>
      <c r="K128" s="25"/>
    </row>
    <row r="129" spans="2:11" x14ac:dyDescent="0.15">
      <c r="B129" s="1118"/>
      <c r="C129" s="1118"/>
      <c r="D129" s="711"/>
      <c r="E129" s="709"/>
      <c r="F129" s="711"/>
      <c r="G129" s="1109"/>
      <c r="H129" s="1109"/>
      <c r="I129" s="29"/>
      <c r="J129" s="1125"/>
      <c r="K129" s="1125"/>
    </row>
    <row r="130" spans="2:11" x14ac:dyDescent="0.15">
      <c r="B130" s="1124"/>
      <c r="C130" s="1124"/>
      <c r="D130" s="1105"/>
      <c r="E130" s="1105"/>
      <c r="F130" s="1105"/>
      <c r="G130" s="1124"/>
      <c r="H130" s="1105"/>
      <c r="I130" s="1105"/>
      <c r="J130" s="1123"/>
      <c r="K130" s="1123"/>
    </row>
    <row r="131" spans="2:11" x14ac:dyDescent="0.15">
      <c r="B131" s="1124"/>
      <c r="C131" s="1124"/>
      <c r="D131" s="1105"/>
      <c r="E131" s="1105"/>
      <c r="F131" s="1105"/>
      <c r="G131" s="1105"/>
      <c r="H131" s="1105"/>
      <c r="I131" s="1105"/>
      <c r="J131" s="1123"/>
      <c r="K131" s="1123"/>
    </row>
  </sheetData>
  <mergeCells count="184">
    <mergeCell ref="J130:K131"/>
    <mergeCell ref="B130:C131"/>
    <mergeCell ref="D130:D131"/>
    <mergeCell ref="E130:E131"/>
    <mergeCell ref="F130:F131"/>
    <mergeCell ref="G130:H131"/>
    <mergeCell ref="I130:I131"/>
    <mergeCell ref="I125:I126"/>
    <mergeCell ref="J125:J126"/>
    <mergeCell ref="K125:K126"/>
    <mergeCell ref="B129:C129"/>
    <mergeCell ref="G129:H129"/>
    <mergeCell ref="J129:K129"/>
    <mergeCell ref="B125:B126"/>
    <mergeCell ref="C125:C126"/>
    <mergeCell ref="D125:D126"/>
    <mergeCell ref="E125:E126"/>
    <mergeCell ref="F125:F126"/>
    <mergeCell ref="G125:G126"/>
    <mergeCell ref="B111:C111"/>
    <mergeCell ref="G111:H111"/>
    <mergeCell ref="B118:C118"/>
    <mergeCell ref="G118:H118"/>
    <mergeCell ref="H125:H126"/>
    <mergeCell ref="J118:K118"/>
    <mergeCell ref="L124:M124"/>
    <mergeCell ref="B105:C105"/>
    <mergeCell ref="I105:J105"/>
    <mergeCell ref="B106:C106"/>
    <mergeCell ref="I106:J106"/>
    <mergeCell ref="B110:C110"/>
    <mergeCell ref="G110:H110"/>
    <mergeCell ref="L125:M126"/>
    <mergeCell ref="B101:C101"/>
    <mergeCell ref="I101:J101"/>
    <mergeCell ref="L101:M101"/>
    <mergeCell ref="B89:C89"/>
    <mergeCell ref="B90:C90"/>
    <mergeCell ref="B91:C91"/>
    <mergeCell ref="B95:C95"/>
    <mergeCell ref="G95:H95"/>
    <mergeCell ref="B96:C96"/>
    <mergeCell ref="G96:H96"/>
    <mergeCell ref="J52:K52"/>
    <mergeCell ref="L52:M52"/>
    <mergeCell ref="B51:C51"/>
    <mergeCell ref="D51:E51"/>
    <mergeCell ref="F51:G51"/>
    <mergeCell ref="H51:I51"/>
    <mergeCell ref="J51:K51"/>
    <mergeCell ref="L51:M51"/>
    <mergeCell ref="B100:C100"/>
    <mergeCell ref="I100:J100"/>
    <mergeCell ref="L100:M100"/>
    <mergeCell ref="AE52:AF52"/>
    <mergeCell ref="AL55:AM55"/>
    <mergeCell ref="B49:C49"/>
    <mergeCell ref="D49:E49"/>
    <mergeCell ref="F49:G49"/>
    <mergeCell ref="H49:I49"/>
    <mergeCell ref="J49:K49"/>
    <mergeCell ref="Q44:W45"/>
    <mergeCell ref="AI40:AJ40"/>
    <mergeCell ref="AF41:AG41"/>
    <mergeCell ref="L49:M49"/>
    <mergeCell ref="B50:C50"/>
    <mergeCell ref="D50:E50"/>
    <mergeCell ref="F50:G50"/>
    <mergeCell ref="H50:I50"/>
    <mergeCell ref="J50:K50"/>
    <mergeCell ref="L50:M50"/>
    <mergeCell ref="H41:I41"/>
    <mergeCell ref="J41:K41"/>
    <mergeCell ref="L41:M41"/>
    <mergeCell ref="B52:C52"/>
    <mergeCell ref="D52:E52"/>
    <mergeCell ref="F52:G52"/>
    <mergeCell ref="H52:I52"/>
    <mergeCell ref="B39:C39"/>
    <mergeCell ref="D39:E39"/>
    <mergeCell ref="F39:G39"/>
    <mergeCell ref="H39:I39"/>
    <mergeCell ref="J39:K39"/>
    <mergeCell ref="L39:M39"/>
    <mergeCell ref="B41:C41"/>
    <mergeCell ref="B38:C38"/>
    <mergeCell ref="D38:E38"/>
    <mergeCell ref="F38:G38"/>
    <mergeCell ref="H38:I38"/>
    <mergeCell ref="J38:K38"/>
    <mergeCell ref="L38:M38"/>
    <mergeCell ref="B37:C37"/>
    <mergeCell ref="D37:E37"/>
    <mergeCell ref="F37:G37"/>
    <mergeCell ref="H37:I37"/>
    <mergeCell ref="J37:K37"/>
    <mergeCell ref="L37:M37"/>
    <mergeCell ref="B36:C36"/>
    <mergeCell ref="D36:E36"/>
    <mergeCell ref="F36:G36"/>
    <mergeCell ref="H36:I36"/>
    <mergeCell ref="J36:K36"/>
    <mergeCell ref="L36:M36"/>
    <mergeCell ref="K32:L33"/>
    <mergeCell ref="E34:F34"/>
    <mergeCell ref="Q34:R43"/>
    <mergeCell ref="S34:S43"/>
    <mergeCell ref="AF34:AG34"/>
    <mergeCell ref="AE35:AF35"/>
    <mergeCell ref="T36:W43"/>
    <mergeCell ref="AF37:AG37"/>
    <mergeCell ref="D41:E41"/>
    <mergeCell ref="F41:G41"/>
    <mergeCell ref="B32:C33"/>
    <mergeCell ref="D32:D33"/>
    <mergeCell ref="E32:F33"/>
    <mergeCell ref="G32:G33"/>
    <mergeCell ref="H32:I33"/>
    <mergeCell ref="J32:J33"/>
    <mergeCell ref="H26:H27"/>
    <mergeCell ref="I26:I27"/>
    <mergeCell ref="B31:C31"/>
    <mergeCell ref="E31:F31"/>
    <mergeCell ref="H31:I31"/>
    <mergeCell ref="K31:L31"/>
    <mergeCell ref="B25:C25"/>
    <mergeCell ref="F25:G25"/>
    <mergeCell ref="B26:C27"/>
    <mergeCell ref="D26:D27"/>
    <mergeCell ref="E26:E27"/>
    <mergeCell ref="F26:G27"/>
    <mergeCell ref="B22:C22"/>
    <mergeCell ref="F22:G22"/>
    <mergeCell ref="B23:C23"/>
    <mergeCell ref="F23:G23"/>
    <mergeCell ref="B24:C24"/>
    <mergeCell ref="F24:G24"/>
    <mergeCell ref="B19:C19"/>
    <mergeCell ref="F19:G19"/>
    <mergeCell ref="B20:C20"/>
    <mergeCell ref="F20:G20"/>
    <mergeCell ref="B21:C21"/>
    <mergeCell ref="F21:G21"/>
    <mergeCell ref="B13:C13"/>
    <mergeCell ref="D13:E13"/>
    <mergeCell ref="F13:G13"/>
    <mergeCell ref="B17:E17"/>
    <mergeCell ref="F17:I17"/>
    <mergeCell ref="B18:C18"/>
    <mergeCell ref="F18:G18"/>
    <mergeCell ref="B11:C11"/>
    <mergeCell ref="D11:E11"/>
    <mergeCell ref="F11:G11"/>
    <mergeCell ref="B12:C12"/>
    <mergeCell ref="D12:E12"/>
    <mergeCell ref="F12:G12"/>
    <mergeCell ref="B9:C9"/>
    <mergeCell ref="D9:E9"/>
    <mergeCell ref="F9:G9"/>
    <mergeCell ref="H9:I9"/>
    <mergeCell ref="B10:C10"/>
    <mergeCell ref="D10:E10"/>
    <mergeCell ref="F10:G10"/>
    <mergeCell ref="B6:C7"/>
    <mergeCell ref="D6:G6"/>
    <mergeCell ref="H6:I7"/>
    <mergeCell ref="D7:E7"/>
    <mergeCell ref="F7:G7"/>
    <mergeCell ref="B8:C8"/>
    <mergeCell ref="D8:E8"/>
    <mergeCell ref="F8:G8"/>
    <mergeCell ref="H8:I8"/>
    <mergeCell ref="W1:Y1"/>
    <mergeCell ref="L2:M2"/>
    <mergeCell ref="N2:O2"/>
    <mergeCell ref="P2:Q2"/>
    <mergeCell ref="R2:S2"/>
    <mergeCell ref="T2:U2"/>
    <mergeCell ref="B1:K2"/>
    <mergeCell ref="L1:M1"/>
    <mergeCell ref="N1:O1"/>
    <mergeCell ref="P1:Q1"/>
    <mergeCell ref="R1:S1"/>
    <mergeCell ref="T1:U1"/>
  </mergeCells>
  <phoneticPr fontId="2"/>
  <pageMargins left="0.25" right="0.25" top="0.75" bottom="0.75" header="0.3" footer="0.3"/>
  <pageSetup paperSize="8"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AM138"/>
  <sheetViews>
    <sheetView workbookViewId="0">
      <selection sqref="A1:J2"/>
    </sheetView>
  </sheetViews>
  <sheetFormatPr defaultRowHeight="13.5" x14ac:dyDescent="0.15"/>
  <cols>
    <col min="3" max="12" width="9" customWidth="1"/>
    <col min="13" max="18" width="8.75" customWidth="1"/>
    <col min="19" max="19" width="4.75" customWidth="1"/>
    <col min="20" max="24" width="8.75" customWidth="1"/>
    <col min="25" max="28" width="9.125" customWidth="1"/>
    <col min="30" max="30" width="9" customWidth="1"/>
    <col min="34" max="34" width="9.75" bestFit="1" customWidth="1"/>
    <col min="38" max="38" width="9" customWidth="1"/>
    <col min="56" max="56" width="9" customWidth="1"/>
  </cols>
  <sheetData>
    <row r="1" spans="1:35" ht="12.75" customHeight="1" x14ac:dyDescent="0.15">
      <c r="A1" s="959" t="s">
        <v>455</v>
      </c>
      <c r="B1" s="959"/>
      <c r="C1" s="959"/>
      <c r="D1" s="959"/>
      <c r="E1" s="959"/>
      <c r="F1" s="959"/>
      <c r="G1" s="959"/>
      <c r="H1" s="959"/>
      <c r="I1" s="959"/>
      <c r="J1" s="959"/>
      <c r="K1" s="960" t="s">
        <v>221</v>
      </c>
      <c r="L1" s="960"/>
      <c r="M1" s="958" t="e">
        <f>#REF!</f>
        <v>#REF!</v>
      </c>
      <c r="N1" s="958"/>
      <c r="O1" s="958" t="e">
        <f>#REF!</f>
        <v>#REF!</v>
      </c>
      <c r="P1" s="958"/>
      <c r="Q1" s="958" t="e">
        <f>#REF!</f>
        <v>#REF!</v>
      </c>
      <c r="R1" s="958"/>
      <c r="S1" s="958"/>
      <c r="T1" s="958"/>
      <c r="U1" s="542"/>
      <c r="V1" s="955">
        <f ca="1">TODAY()</f>
        <v>45398</v>
      </c>
      <c r="W1" s="955"/>
      <c r="X1" s="955"/>
      <c r="Z1" s="29"/>
    </row>
    <row r="2" spans="1:35" ht="12.75" customHeight="1" x14ac:dyDescent="0.15">
      <c r="A2" s="959"/>
      <c r="B2" s="959"/>
      <c r="C2" s="959"/>
      <c r="D2" s="959"/>
      <c r="E2" s="959"/>
      <c r="F2" s="959"/>
      <c r="G2" s="959"/>
      <c r="H2" s="959"/>
      <c r="I2" s="959"/>
      <c r="J2" s="959"/>
      <c r="K2" s="956" t="e">
        <f>#REF!</f>
        <v>#REF!</v>
      </c>
      <c r="L2" s="956"/>
      <c r="M2" s="957" t="e">
        <f>#REF!</f>
        <v>#REF!</v>
      </c>
      <c r="N2" s="957"/>
      <c r="O2" s="957" t="e">
        <f>#REF!</f>
        <v>#REF!</v>
      </c>
      <c r="P2" s="957"/>
      <c r="Q2" s="957" t="e">
        <f>#REF!</f>
        <v>#REF!</v>
      </c>
      <c r="R2" s="957"/>
      <c r="S2" s="958"/>
      <c r="T2" s="958"/>
      <c r="U2" s="542"/>
      <c r="V2" s="543"/>
      <c r="W2" s="543"/>
      <c r="X2" s="543"/>
      <c r="Z2" s="29"/>
    </row>
    <row r="3" spans="1:35" ht="13.5" customHeight="1" x14ac:dyDescent="0.15">
      <c r="A3" s="393"/>
      <c r="B3" s="393"/>
      <c r="C3" s="393"/>
      <c r="D3" s="393"/>
      <c r="E3" s="393"/>
      <c r="F3" s="393"/>
      <c r="G3" s="393"/>
      <c r="H3" s="393"/>
      <c r="I3" s="393"/>
      <c r="J3" s="393"/>
      <c r="K3" s="393"/>
      <c r="L3" s="393"/>
      <c r="M3" s="393"/>
      <c r="N3" s="393"/>
      <c r="O3" s="393"/>
      <c r="P3" s="393"/>
      <c r="Q3" s="393"/>
      <c r="R3" s="393"/>
      <c r="S3" s="393"/>
      <c r="T3" s="393"/>
      <c r="U3" s="393"/>
      <c r="V3" s="393"/>
      <c r="W3" s="393"/>
      <c r="X3" s="393"/>
      <c r="Y3" s="29"/>
      <c r="Z3" s="29"/>
    </row>
    <row r="4" spans="1:35" ht="13.5" customHeight="1" thickBot="1" x14ac:dyDescent="0.2">
      <c r="A4" s="402" t="s">
        <v>297</v>
      </c>
      <c r="B4" s="393"/>
      <c r="C4" s="393"/>
      <c r="D4" s="393"/>
      <c r="E4" s="393"/>
      <c r="F4" s="393"/>
      <c r="G4" s="393"/>
      <c r="H4" s="393"/>
      <c r="I4" s="393"/>
      <c r="J4" s="393"/>
      <c r="K4" s="393"/>
      <c r="L4" s="390" t="s">
        <v>294</v>
      </c>
      <c r="M4" s="393"/>
      <c r="N4" s="390"/>
      <c r="O4" s="390"/>
      <c r="P4" s="390"/>
      <c r="Q4" s="390"/>
      <c r="R4" s="390"/>
      <c r="S4" s="390"/>
      <c r="T4" s="390"/>
      <c r="U4" s="390"/>
      <c r="V4" s="390"/>
      <c r="W4" s="390"/>
      <c r="X4" s="393"/>
      <c r="Y4" s="393"/>
      <c r="Z4" s="29"/>
    </row>
    <row r="5" spans="1:35" ht="13.5" customHeight="1" x14ac:dyDescent="0.15">
      <c r="A5" s="967" t="s">
        <v>84</v>
      </c>
      <c r="B5" s="968"/>
      <c r="C5" s="971" t="s">
        <v>85</v>
      </c>
      <c r="D5" s="972"/>
      <c r="E5" s="972"/>
      <c r="F5" s="973"/>
      <c r="G5" s="974" t="s">
        <v>86</v>
      </c>
      <c r="H5" s="975"/>
      <c r="I5" s="393"/>
      <c r="J5" s="401"/>
      <c r="K5" s="401"/>
      <c r="L5" s="411"/>
      <c r="M5" s="398"/>
      <c r="N5" s="398"/>
      <c r="O5" s="398"/>
      <c r="P5" s="400"/>
      <c r="Q5" s="400"/>
      <c r="R5" s="400"/>
      <c r="S5" s="398"/>
      <c r="T5" s="398"/>
      <c r="U5" s="398"/>
      <c r="V5" s="398"/>
      <c r="W5" s="398"/>
      <c r="X5" s="396"/>
      <c r="Y5" s="393"/>
      <c r="Z5" s="29"/>
    </row>
    <row r="6" spans="1:35" ht="13.5" customHeight="1" thickBot="1" x14ac:dyDescent="0.2">
      <c r="A6" s="969"/>
      <c r="B6" s="970"/>
      <c r="C6" s="978" t="s">
        <v>87</v>
      </c>
      <c r="D6" s="979"/>
      <c r="E6" s="978" t="s">
        <v>30</v>
      </c>
      <c r="F6" s="979"/>
      <c r="G6" s="976"/>
      <c r="H6" s="977"/>
      <c r="I6" s="393"/>
      <c r="J6" s="401"/>
      <c r="K6" s="401"/>
      <c r="L6" s="399"/>
      <c r="M6" s="390"/>
      <c r="N6" s="390"/>
      <c r="O6" s="390"/>
      <c r="P6" s="390"/>
      <c r="Q6" s="390"/>
      <c r="R6" s="390"/>
      <c r="S6" s="390"/>
      <c r="T6" s="390"/>
      <c r="U6" s="390"/>
      <c r="V6" s="390"/>
      <c r="W6" s="390"/>
      <c r="X6" s="391"/>
      <c r="Y6" s="393"/>
      <c r="Z6" s="29"/>
    </row>
    <row r="7" spans="1:35" ht="13.5" customHeight="1" thickTop="1" x14ac:dyDescent="0.15">
      <c r="A7" s="980" t="e">
        <f>#REF!</f>
        <v>#REF!</v>
      </c>
      <c r="B7" s="981"/>
      <c r="C7" s="982" t="e">
        <f>#REF!</f>
        <v>#REF!</v>
      </c>
      <c r="D7" s="983"/>
      <c r="E7" s="982" t="e">
        <f>C7*0.3025</f>
        <v>#REF!</v>
      </c>
      <c r="F7" s="983"/>
      <c r="G7" s="984"/>
      <c r="H7" s="985"/>
      <c r="I7" s="393"/>
      <c r="J7" s="402"/>
      <c r="K7" s="402"/>
      <c r="L7" s="399"/>
      <c r="M7" s="390"/>
      <c r="N7" s="390"/>
      <c r="O7" s="390"/>
      <c r="P7" s="390" t="s">
        <v>94</v>
      </c>
      <c r="Q7" s="412">
        <f>C25/100</f>
        <v>0</v>
      </c>
      <c r="R7" s="390"/>
      <c r="S7" s="390" t="s">
        <v>95</v>
      </c>
      <c r="T7" s="412" t="e">
        <f>G25/100</f>
        <v>#REF!</v>
      </c>
      <c r="U7" s="390"/>
      <c r="V7" s="390" t="s">
        <v>223</v>
      </c>
      <c r="W7" s="412" t="e">
        <f>AH7</f>
        <v>#REF!</v>
      </c>
      <c r="X7" s="391"/>
      <c r="Y7" s="393"/>
      <c r="Z7" s="29"/>
      <c r="AA7" s="29"/>
      <c r="AC7" t="s">
        <v>94</v>
      </c>
      <c r="AD7" s="405">
        <f>C25/100</f>
        <v>0</v>
      </c>
      <c r="AE7" t="s">
        <v>95</v>
      </c>
      <c r="AF7" s="405" t="e">
        <f>G25/100</f>
        <v>#REF!</v>
      </c>
      <c r="AG7" t="s">
        <v>223</v>
      </c>
      <c r="AH7" s="405" t="e">
        <f>A31/100</f>
        <v>#REF!</v>
      </c>
      <c r="AI7" s="405" t="e">
        <f>SUM(AH9:AH12)</f>
        <v>#REF!</v>
      </c>
    </row>
    <row r="8" spans="1:35" ht="13.5" customHeight="1" x14ac:dyDescent="0.15">
      <c r="A8" s="994" t="e">
        <f>#REF!</f>
        <v>#REF!</v>
      </c>
      <c r="B8" s="995"/>
      <c r="C8" s="996" t="e">
        <f>#REF!</f>
        <v>#REF!</v>
      </c>
      <c r="D8" s="997"/>
      <c r="E8" s="996" t="e">
        <f>C8*0.3025</f>
        <v>#REF!</v>
      </c>
      <c r="F8" s="997"/>
      <c r="G8" s="961"/>
      <c r="H8" s="962"/>
      <c r="I8" s="393"/>
      <c r="J8" s="402"/>
      <c r="K8" s="402"/>
      <c r="L8" s="399"/>
      <c r="M8" s="390"/>
      <c r="N8" s="390"/>
      <c r="O8" s="390"/>
      <c r="P8" s="390"/>
      <c r="Q8" s="390"/>
      <c r="R8" s="390"/>
      <c r="S8" s="390"/>
      <c r="T8" s="390"/>
      <c r="U8" s="390"/>
      <c r="V8" s="390"/>
      <c r="W8" s="390"/>
      <c r="X8" s="391"/>
      <c r="Y8" s="393"/>
      <c r="Z8" s="29"/>
      <c r="AA8" s="29"/>
      <c r="AF8" s="405"/>
      <c r="AH8" s="405"/>
    </row>
    <row r="9" spans="1:35" ht="13.5" customHeight="1" x14ac:dyDescent="0.15">
      <c r="A9" s="963" t="e">
        <f>#REF!</f>
        <v>#REF!</v>
      </c>
      <c r="B9" s="964"/>
      <c r="C9" s="965" t="e">
        <f>#REF!</f>
        <v>#REF!</v>
      </c>
      <c r="D9" s="966"/>
      <c r="E9" s="965" t="e">
        <f>C9*0.3025</f>
        <v>#REF!</v>
      </c>
      <c r="F9" s="966"/>
      <c r="G9" s="491"/>
      <c r="H9" s="492"/>
      <c r="I9" s="393"/>
      <c r="J9" s="402"/>
      <c r="K9" s="402"/>
      <c r="L9" s="399"/>
      <c r="M9" s="390"/>
      <c r="N9" s="390"/>
      <c r="O9" s="390"/>
      <c r="P9" s="390"/>
      <c r="Q9" s="390"/>
      <c r="R9" s="390"/>
      <c r="S9" s="390"/>
      <c r="T9" s="390"/>
      <c r="U9" s="390"/>
      <c r="V9" s="390"/>
      <c r="W9" s="390"/>
      <c r="X9" s="391"/>
      <c r="Y9" s="393"/>
      <c r="Z9" s="29"/>
      <c r="AA9" s="29"/>
      <c r="AC9" t="s">
        <v>224</v>
      </c>
      <c r="AD9" s="405">
        <f>C18/100</f>
        <v>0</v>
      </c>
      <c r="AE9" t="s">
        <v>98</v>
      </c>
      <c r="AF9" s="405">
        <f>G18/100</f>
        <v>0</v>
      </c>
      <c r="AG9" t="s">
        <v>119</v>
      </c>
      <c r="AH9" s="405" t="e">
        <f>E36/100</f>
        <v>#REF!</v>
      </c>
    </row>
    <row r="10" spans="1:35" ht="13.5" customHeight="1" x14ac:dyDescent="0.15">
      <c r="A10" s="986" t="s">
        <v>379</v>
      </c>
      <c r="B10" s="987"/>
      <c r="C10" s="988" t="e">
        <f>#REF!+#REF!+#REF!</f>
        <v>#REF!</v>
      </c>
      <c r="D10" s="989"/>
      <c r="E10" s="988" t="e">
        <f>C10*0.3025</f>
        <v>#REF!</v>
      </c>
      <c r="F10" s="989"/>
      <c r="G10" s="491"/>
      <c r="H10" s="492"/>
      <c r="I10" s="393"/>
      <c r="J10" s="402"/>
      <c r="K10" s="402"/>
      <c r="L10" s="399"/>
      <c r="M10" s="390"/>
      <c r="N10" s="390"/>
      <c r="O10" s="390"/>
      <c r="P10" s="390"/>
      <c r="Q10" s="390"/>
      <c r="R10" s="390"/>
      <c r="S10" s="390"/>
      <c r="T10" s="390"/>
      <c r="U10" s="390"/>
      <c r="V10" s="390"/>
      <c r="W10" s="390"/>
      <c r="X10" s="391"/>
      <c r="Y10" s="393"/>
      <c r="Z10" s="29"/>
      <c r="AA10" s="29"/>
      <c r="AC10" t="s">
        <v>225</v>
      </c>
      <c r="AD10" s="405">
        <f>(C19+C20)/100</f>
        <v>0</v>
      </c>
      <c r="AE10" t="s">
        <v>226</v>
      </c>
      <c r="AF10" s="405" t="e">
        <f>G19/100</f>
        <v>#REF!</v>
      </c>
      <c r="AG10" t="s">
        <v>27</v>
      </c>
      <c r="AH10" s="405" t="e">
        <f>G36/100</f>
        <v>#REF!</v>
      </c>
    </row>
    <row r="11" spans="1:35" ht="13.5" customHeight="1" thickBot="1" x14ac:dyDescent="0.2">
      <c r="A11" s="990" t="s">
        <v>296</v>
      </c>
      <c r="B11" s="991"/>
      <c r="C11" s="992" t="e">
        <f>#REF!</f>
        <v>#REF!</v>
      </c>
      <c r="D11" s="993"/>
      <c r="E11" s="992" t="e">
        <f>C11*0.3025</f>
        <v>#REF!</v>
      </c>
      <c r="F11" s="993"/>
      <c r="G11" s="493"/>
      <c r="H11" s="494"/>
      <c r="I11" s="393"/>
      <c r="J11" s="402"/>
      <c r="K11" s="402"/>
      <c r="L11" s="399"/>
      <c r="M11" s="390"/>
      <c r="N11" s="390"/>
      <c r="O11" s="390"/>
      <c r="P11" s="390"/>
      <c r="Q11" s="390"/>
      <c r="R11" s="390"/>
      <c r="S11" s="390"/>
      <c r="T11" s="390"/>
      <c r="U11" s="390"/>
      <c r="V11" s="390"/>
      <c r="W11" s="390"/>
      <c r="X11" s="392"/>
      <c r="Y11" s="393"/>
      <c r="Z11" s="29"/>
      <c r="AC11" t="s">
        <v>19</v>
      </c>
      <c r="AD11" s="405">
        <f>(C21)/100</f>
        <v>0</v>
      </c>
      <c r="AE11" t="s">
        <v>227</v>
      </c>
      <c r="AF11" s="405" t="e">
        <f>J31/100</f>
        <v>#REF!</v>
      </c>
      <c r="AG11" t="s">
        <v>230</v>
      </c>
      <c r="AH11" s="405" t="e">
        <f>IF(C36-J31&gt;0,(C36-J31)/100,0)</f>
        <v>#REF!</v>
      </c>
    </row>
    <row r="12" spans="1:35" ht="13.5" customHeight="1" thickBot="1" x14ac:dyDescent="0.2">
      <c r="A12" s="1004" t="s">
        <v>88</v>
      </c>
      <c r="B12" s="1005"/>
      <c r="C12" s="1006" t="e">
        <f>SUM(C7:D11)</f>
        <v>#REF!</v>
      </c>
      <c r="D12" s="1007"/>
      <c r="E12" s="1006" t="e">
        <f>SUM(E7:F11)</f>
        <v>#REF!</v>
      </c>
      <c r="F12" s="1007"/>
      <c r="G12" s="495"/>
      <c r="H12" s="496"/>
      <c r="I12" s="393"/>
      <c r="J12" s="402"/>
      <c r="K12" s="402"/>
      <c r="L12" s="399"/>
      <c r="M12" s="390"/>
      <c r="N12" s="390"/>
      <c r="O12" s="390"/>
      <c r="P12" s="390"/>
      <c r="Q12" s="390"/>
      <c r="R12" s="390"/>
      <c r="S12" s="390"/>
      <c r="T12" s="390"/>
      <c r="U12" s="390"/>
      <c r="V12" s="390"/>
      <c r="W12" s="390"/>
      <c r="X12" s="392"/>
      <c r="Y12" s="393"/>
      <c r="Z12" s="29"/>
      <c r="AA12" t="s">
        <v>333</v>
      </c>
      <c r="AB12" s="405" t="e">
        <f>#REF!/100</f>
        <v>#REF!</v>
      </c>
      <c r="AC12" t="s">
        <v>228</v>
      </c>
      <c r="AD12" s="405">
        <f>C24/100</f>
        <v>0</v>
      </c>
      <c r="AF12" s="405"/>
      <c r="AG12" t="s">
        <v>108</v>
      </c>
      <c r="AH12" s="405" t="e">
        <f>IF(C36-J31&gt;0,J31/100,C36/100)</f>
        <v>#REF!</v>
      </c>
    </row>
    <row r="13" spans="1:35" ht="13.5" customHeight="1" x14ac:dyDescent="0.15">
      <c r="A13" s="390"/>
      <c r="B13" s="390"/>
      <c r="C13" s="390"/>
      <c r="D13" s="390"/>
      <c r="E13" s="390"/>
      <c r="F13" s="390"/>
      <c r="G13" s="390"/>
      <c r="H13" s="390"/>
      <c r="I13" s="393"/>
      <c r="J13" s="390"/>
      <c r="K13" s="390"/>
      <c r="L13" s="399"/>
      <c r="M13" s="390"/>
      <c r="N13" s="390"/>
      <c r="O13" s="390"/>
      <c r="P13" s="390"/>
      <c r="Q13" s="390"/>
      <c r="R13" s="390"/>
      <c r="S13" s="390"/>
      <c r="T13" s="390"/>
      <c r="U13" s="390"/>
      <c r="V13" s="390"/>
      <c r="W13" s="390"/>
      <c r="X13" s="392"/>
      <c r="Y13" s="393"/>
      <c r="Z13" s="29"/>
      <c r="AA13" t="s">
        <v>334</v>
      </c>
      <c r="AB13" s="405" t="e">
        <f>#REF!/100</f>
        <v>#REF!</v>
      </c>
      <c r="AC13" t="s">
        <v>229</v>
      </c>
      <c r="AD13" s="405">
        <f>(C22+C23)/100</f>
        <v>0</v>
      </c>
      <c r="AF13" s="405"/>
    </row>
    <row r="14" spans="1:35" ht="13.5" customHeight="1" x14ac:dyDescent="0.15">
      <c r="A14" s="390"/>
      <c r="B14" s="390"/>
      <c r="C14" s="390"/>
      <c r="D14" s="390"/>
      <c r="E14" s="390"/>
      <c r="F14" s="390"/>
      <c r="G14" s="390"/>
      <c r="H14" s="390"/>
      <c r="I14" s="393"/>
      <c r="J14" s="390"/>
      <c r="K14" s="390"/>
      <c r="L14" s="399"/>
      <c r="M14" s="390"/>
      <c r="N14" s="390"/>
      <c r="O14" s="390"/>
      <c r="P14" s="390"/>
      <c r="Q14" s="390"/>
      <c r="R14" s="390"/>
      <c r="S14" s="390"/>
      <c r="T14" s="390"/>
      <c r="U14" s="390"/>
      <c r="V14" s="390"/>
      <c r="W14" s="390"/>
      <c r="X14" s="392"/>
      <c r="Y14" s="393"/>
      <c r="Z14" s="29"/>
    </row>
    <row r="15" spans="1:35" ht="13.5" customHeight="1" thickBot="1" x14ac:dyDescent="0.2">
      <c r="A15" s="390" t="s">
        <v>219</v>
      </c>
      <c r="B15" s="393"/>
      <c r="C15" s="393"/>
      <c r="D15" s="393"/>
      <c r="E15" s="393"/>
      <c r="F15" s="393"/>
      <c r="G15" s="393"/>
      <c r="H15" s="393"/>
      <c r="I15" s="393"/>
      <c r="J15" s="390"/>
      <c r="K15" s="390"/>
      <c r="L15" s="399"/>
      <c r="M15" s="390"/>
      <c r="N15" s="390"/>
      <c r="O15" s="390"/>
      <c r="P15" s="390"/>
      <c r="Q15" s="390"/>
      <c r="R15" s="390"/>
      <c r="S15" s="390"/>
      <c r="T15" s="390"/>
      <c r="U15" s="390"/>
      <c r="V15" s="390"/>
      <c r="W15" s="390"/>
      <c r="X15" s="392"/>
      <c r="Y15" s="393"/>
      <c r="Z15" s="29"/>
    </row>
    <row r="16" spans="1:35" ht="13.5" customHeight="1" thickBot="1" x14ac:dyDescent="0.2">
      <c r="A16" s="1008" t="s">
        <v>89</v>
      </c>
      <c r="B16" s="1009"/>
      <c r="C16" s="1009"/>
      <c r="D16" s="1010"/>
      <c r="E16" s="1011" t="s">
        <v>90</v>
      </c>
      <c r="F16" s="1012"/>
      <c r="G16" s="1012"/>
      <c r="H16" s="1013"/>
      <c r="I16" s="393"/>
      <c r="J16" s="390"/>
      <c r="K16" s="390"/>
      <c r="L16" s="399"/>
      <c r="M16" s="390"/>
      <c r="N16" s="390"/>
      <c r="O16" s="390"/>
      <c r="P16" s="390"/>
      <c r="Q16" s="390"/>
      <c r="R16" s="390"/>
      <c r="S16" s="390"/>
      <c r="T16" s="390"/>
      <c r="U16" s="390"/>
      <c r="V16" s="390"/>
      <c r="W16" s="390"/>
      <c r="X16" s="392"/>
      <c r="Y16" s="393"/>
      <c r="Z16" s="32"/>
      <c r="AA16" s="29"/>
      <c r="AB16" s="29"/>
      <c r="AC16" s="29"/>
      <c r="AD16" s="29"/>
    </row>
    <row r="17" spans="1:39" ht="13.5" customHeight="1" thickTop="1" thickBot="1" x14ac:dyDescent="0.2">
      <c r="A17" s="1014" t="s">
        <v>91</v>
      </c>
      <c r="B17" s="1015"/>
      <c r="C17" s="83" t="s">
        <v>92</v>
      </c>
      <c r="D17" s="82" t="s">
        <v>61</v>
      </c>
      <c r="E17" s="1016" t="s">
        <v>91</v>
      </c>
      <c r="F17" s="1017"/>
      <c r="G17" s="80" t="s">
        <v>92</v>
      </c>
      <c r="H17" s="81" t="s">
        <v>61</v>
      </c>
      <c r="I17" s="393"/>
      <c r="J17" s="390"/>
      <c r="K17" s="390"/>
      <c r="L17" s="399"/>
      <c r="M17" s="390"/>
      <c r="N17" s="390"/>
      <c r="O17" s="390"/>
      <c r="P17" s="390"/>
      <c r="Q17" s="390"/>
      <c r="R17" s="390"/>
      <c r="S17" s="390"/>
      <c r="T17" s="390"/>
      <c r="U17" s="390"/>
      <c r="V17" s="390"/>
      <c r="W17" s="390"/>
      <c r="X17" s="413"/>
      <c r="Y17" s="393"/>
      <c r="Z17" s="86"/>
      <c r="AA17" s="29"/>
      <c r="AB17" s="29"/>
      <c r="AC17" s="29"/>
      <c r="AD17" s="29"/>
      <c r="AE17" s="409"/>
      <c r="AF17" s="409"/>
      <c r="AG17" s="29"/>
      <c r="AH17" s="29"/>
    </row>
    <row r="18" spans="1:39" ht="13.5" customHeight="1" thickTop="1" x14ac:dyDescent="0.15">
      <c r="A18" s="998" t="s">
        <v>0</v>
      </c>
      <c r="B18" s="999"/>
      <c r="C18" s="79">
        <f>様式３!E12</f>
        <v>0</v>
      </c>
      <c r="D18" s="97" t="e">
        <f t="shared" ref="D18:D24" si="0">C18/$C$25</f>
        <v>#DIV/0!</v>
      </c>
      <c r="E18" s="1000" t="s">
        <v>62</v>
      </c>
      <c r="F18" s="999"/>
      <c r="G18" s="79">
        <f>様式３!K43</f>
        <v>0</v>
      </c>
      <c r="H18" s="97" t="e">
        <f>G18/$G$25</f>
        <v>#REF!</v>
      </c>
      <c r="I18" s="393"/>
      <c r="J18" s="390"/>
      <c r="K18" s="390"/>
      <c r="L18" s="399"/>
      <c r="M18" s="390"/>
      <c r="N18" s="390"/>
      <c r="O18" s="390"/>
      <c r="P18" s="390"/>
      <c r="Q18" s="390"/>
      <c r="R18" s="390"/>
      <c r="S18" s="390"/>
      <c r="T18" s="390"/>
      <c r="U18" s="390"/>
      <c r="V18" s="390"/>
      <c r="W18" s="390"/>
      <c r="X18" s="397"/>
      <c r="Y18" s="393"/>
      <c r="Z18" s="86"/>
      <c r="AA18" s="29"/>
      <c r="AB18" s="29"/>
      <c r="AC18" s="29"/>
      <c r="AD18" s="33"/>
      <c r="AE18" s="33"/>
      <c r="AF18" s="408"/>
      <c r="AG18" s="29"/>
      <c r="AH18" s="33"/>
    </row>
    <row r="19" spans="1:39" ht="13.5" customHeight="1" x14ac:dyDescent="0.15">
      <c r="A19" s="1001" t="s">
        <v>1</v>
      </c>
      <c r="B19" s="1002"/>
      <c r="C19" s="31">
        <f>様式３!E16</f>
        <v>0</v>
      </c>
      <c r="D19" s="98" t="e">
        <f t="shared" si="0"/>
        <v>#DIV/0!</v>
      </c>
      <c r="E19" s="1003" t="s">
        <v>63</v>
      </c>
      <c r="F19" s="1002"/>
      <c r="G19" s="31" t="e">
        <f>#REF!</f>
        <v>#REF!</v>
      </c>
      <c r="H19" s="98" t="e">
        <f>G19/$G$25</f>
        <v>#REF!</v>
      </c>
      <c r="I19" s="393"/>
      <c r="J19" s="390"/>
      <c r="K19" s="390"/>
      <c r="L19" s="399"/>
      <c r="M19" s="390"/>
      <c r="N19" s="390"/>
      <c r="O19" s="390"/>
      <c r="P19" s="390"/>
      <c r="Q19" s="390"/>
      <c r="R19" s="390"/>
      <c r="S19" s="390"/>
      <c r="T19" s="390"/>
      <c r="U19" s="390"/>
      <c r="V19" s="390"/>
      <c r="W19" s="390"/>
      <c r="X19" s="397"/>
      <c r="Y19" s="393"/>
      <c r="Z19" s="86"/>
      <c r="AA19" s="29"/>
      <c r="AB19" s="29"/>
      <c r="AC19" s="29"/>
      <c r="AD19" s="33"/>
      <c r="AG19" s="29"/>
      <c r="AH19" s="33"/>
    </row>
    <row r="20" spans="1:39" ht="13.5" customHeight="1" x14ac:dyDescent="0.15">
      <c r="A20" s="1001" t="s">
        <v>2</v>
      </c>
      <c r="B20" s="1002"/>
      <c r="C20" s="31">
        <f>様式３!E21</f>
        <v>0</v>
      </c>
      <c r="D20" s="98" t="e">
        <f t="shared" si="0"/>
        <v>#DIV/0!</v>
      </c>
      <c r="E20" s="1003"/>
      <c r="F20" s="1002"/>
      <c r="G20" s="31"/>
      <c r="H20" s="98"/>
      <c r="I20" s="393"/>
      <c r="J20" s="390"/>
      <c r="K20" s="390"/>
      <c r="L20" s="399"/>
      <c r="M20" s="390"/>
      <c r="N20" s="390"/>
      <c r="O20" s="390"/>
      <c r="P20" s="390"/>
      <c r="Q20" s="390"/>
      <c r="R20" s="390"/>
      <c r="S20" s="390"/>
      <c r="T20" s="390"/>
      <c r="U20" s="390"/>
      <c r="V20" s="390"/>
      <c r="W20" s="390"/>
      <c r="X20" s="397"/>
      <c r="Y20" s="393"/>
      <c r="Z20" s="86"/>
      <c r="AA20" s="29"/>
      <c r="AB20" s="29"/>
      <c r="AC20" s="29"/>
      <c r="AG20" s="29"/>
    </row>
    <row r="21" spans="1:39" ht="13.5" customHeight="1" x14ac:dyDescent="0.15">
      <c r="A21" s="1001" t="s">
        <v>19</v>
      </c>
      <c r="B21" s="1002"/>
      <c r="C21" s="31">
        <f>様式３!E34</f>
        <v>0</v>
      </c>
      <c r="D21" s="98" t="e">
        <f t="shared" si="0"/>
        <v>#DIV/0!</v>
      </c>
      <c r="E21" s="1003"/>
      <c r="F21" s="1002"/>
      <c r="G21" s="26"/>
      <c r="H21" s="98"/>
      <c r="I21" s="393"/>
      <c r="J21" s="390"/>
      <c r="K21" s="390"/>
      <c r="L21" s="399"/>
      <c r="M21" s="390"/>
      <c r="N21" s="390"/>
      <c r="O21" s="390"/>
      <c r="P21" s="390"/>
      <c r="Q21" s="390"/>
      <c r="R21" s="390"/>
      <c r="S21" s="390"/>
      <c r="T21" s="390"/>
      <c r="U21" s="390"/>
      <c r="V21" s="390"/>
      <c r="W21" s="390"/>
      <c r="X21" s="397"/>
      <c r="Y21" s="390"/>
      <c r="Z21" s="86"/>
      <c r="AA21" s="29"/>
      <c r="AB21" s="29"/>
      <c r="AC21" s="29"/>
      <c r="AD21" s="33"/>
      <c r="AE21" s="33"/>
      <c r="AF21" s="33"/>
      <c r="AG21" s="29"/>
    </row>
    <row r="22" spans="1:39" ht="13.5" customHeight="1" x14ac:dyDescent="0.15">
      <c r="A22" s="1001" t="s">
        <v>93</v>
      </c>
      <c r="B22" s="1002"/>
      <c r="C22" s="31">
        <f>様式３!E40</f>
        <v>0</v>
      </c>
      <c r="D22" s="98" t="e">
        <f t="shared" si="0"/>
        <v>#DIV/0!</v>
      </c>
      <c r="E22" s="1003"/>
      <c r="F22" s="1002"/>
      <c r="G22" s="26"/>
      <c r="H22" s="98"/>
      <c r="I22" s="393"/>
      <c r="J22" s="390"/>
      <c r="K22" s="390"/>
      <c r="L22" s="399"/>
      <c r="M22" s="390"/>
      <c r="N22" s="390"/>
      <c r="O22" s="390"/>
      <c r="P22" s="390"/>
      <c r="Q22" s="390"/>
      <c r="R22" s="390"/>
      <c r="S22" s="390"/>
      <c r="T22" s="390"/>
      <c r="U22" s="390"/>
      <c r="V22" s="390"/>
      <c r="W22" s="390"/>
      <c r="X22" s="397"/>
      <c r="Y22" s="390"/>
      <c r="AA22" s="29"/>
      <c r="AB22" s="29"/>
      <c r="AC22" s="29"/>
      <c r="AD22" s="33"/>
      <c r="AE22" s="408"/>
      <c r="AF22" s="408"/>
      <c r="AG22" s="29"/>
      <c r="AH22" s="33"/>
    </row>
    <row r="23" spans="1:39" ht="13.5" customHeight="1" x14ac:dyDescent="0.15">
      <c r="A23" s="1001" t="s">
        <v>168</v>
      </c>
      <c r="B23" s="1002"/>
      <c r="C23" s="31">
        <f>様式３!E41</f>
        <v>0</v>
      </c>
      <c r="D23" s="98" t="e">
        <f t="shared" si="0"/>
        <v>#DIV/0!</v>
      </c>
      <c r="E23" s="1003"/>
      <c r="F23" s="1002"/>
      <c r="G23" s="26"/>
      <c r="H23" s="98"/>
      <c r="I23" s="393"/>
      <c r="J23" s="390"/>
      <c r="K23" s="390"/>
      <c r="L23" s="399"/>
      <c r="M23" s="390"/>
      <c r="N23" s="390"/>
      <c r="O23" s="390"/>
      <c r="P23" s="390"/>
      <c r="Q23" s="390"/>
      <c r="R23" s="390"/>
      <c r="S23" s="390"/>
      <c r="T23" s="390"/>
      <c r="U23" s="390"/>
      <c r="V23" s="390"/>
      <c r="W23" s="390"/>
      <c r="X23" s="397"/>
      <c r="Y23" s="390"/>
      <c r="AA23" s="29"/>
      <c r="AB23" s="29"/>
      <c r="AC23" s="29"/>
      <c r="AD23" s="33"/>
      <c r="AE23" s="33"/>
      <c r="AF23" s="33"/>
      <c r="AG23" s="29"/>
    </row>
    <row r="24" spans="1:39" ht="13.5" customHeight="1" thickBot="1" x14ac:dyDescent="0.2">
      <c r="A24" s="1019" t="s">
        <v>451</v>
      </c>
      <c r="B24" s="1020"/>
      <c r="C24" s="84">
        <f>様式３!E42</f>
        <v>0</v>
      </c>
      <c r="D24" s="99" t="e">
        <f t="shared" si="0"/>
        <v>#DIV/0!</v>
      </c>
      <c r="E24" s="979"/>
      <c r="F24" s="1020"/>
      <c r="G24" s="85"/>
      <c r="H24" s="99"/>
      <c r="I24" s="393"/>
      <c r="J24" s="390"/>
      <c r="K24" s="390"/>
      <c r="L24" s="399"/>
      <c r="M24" s="390"/>
      <c r="N24" s="390"/>
      <c r="O24" s="390"/>
      <c r="P24" s="390"/>
      <c r="Q24" s="390"/>
      <c r="R24" s="390"/>
      <c r="S24" s="390"/>
      <c r="T24" s="390"/>
      <c r="U24" s="390"/>
      <c r="V24" s="390"/>
      <c r="W24" s="390"/>
      <c r="X24" s="397"/>
      <c r="Y24" s="390"/>
      <c r="AB24" s="29"/>
      <c r="AC24" s="29"/>
      <c r="AD24" s="33"/>
      <c r="AE24" s="33"/>
      <c r="AF24" s="33"/>
      <c r="AG24" s="29"/>
      <c r="AH24" s="93"/>
    </row>
    <row r="25" spans="1:39" ht="13.5" customHeight="1" x14ac:dyDescent="0.15">
      <c r="A25" s="1021" t="s">
        <v>31</v>
      </c>
      <c r="B25" s="1022"/>
      <c r="C25" s="1025">
        <f>SUM(C18:C24)</f>
        <v>0</v>
      </c>
      <c r="D25" s="1027" t="e">
        <f>SUM(D18:D24)</f>
        <v>#DIV/0!</v>
      </c>
      <c r="E25" s="973" t="s">
        <v>31</v>
      </c>
      <c r="F25" s="1022"/>
      <c r="G25" s="1033" t="e">
        <f>SUM(G18:G24)</f>
        <v>#REF!</v>
      </c>
      <c r="H25" s="1035" t="e">
        <f>H18+H19</f>
        <v>#REF!</v>
      </c>
      <c r="I25" s="393"/>
      <c r="J25" s="390"/>
      <c r="K25" s="390"/>
      <c r="L25" s="399"/>
      <c r="M25" s="390"/>
      <c r="N25" s="390"/>
      <c r="O25" s="390"/>
      <c r="P25" s="390"/>
      <c r="Q25" s="390"/>
      <c r="R25" s="390"/>
      <c r="S25" s="390"/>
      <c r="T25" s="390"/>
      <c r="U25" s="390"/>
      <c r="V25" s="390"/>
      <c r="W25" s="390"/>
      <c r="X25" s="397"/>
      <c r="Y25" s="390"/>
      <c r="AB25" s="29"/>
      <c r="AC25" s="29"/>
      <c r="AD25" s="33"/>
      <c r="AE25" s="33"/>
      <c r="AF25" s="33"/>
      <c r="AG25" s="29"/>
      <c r="AH25" s="93"/>
    </row>
    <row r="26" spans="1:39" ht="13.5" customHeight="1" thickBot="1" x14ac:dyDescent="0.2">
      <c r="A26" s="1023"/>
      <c r="B26" s="1024"/>
      <c r="C26" s="1026"/>
      <c r="D26" s="1028"/>
      <c r="E26" s="1029"/>
      <c r="F26" s="1024"/>
      <c r="G26" s="1034"/>
      <c r="H26" s="1036"/>
      <c r="I26" s="393"/>
      <c r="J26" s="403"/>
      <c r="K26" s="390"/>
      <c r="L26" s="414"/>
      <c r="M26" s="395"/>
      <c r="N26" s="395"/>
      <c r="O26" s="395"/>
      <c r="P26" s="395"/>
      <c r="Q26" s="395"/>
      <c r="R26" s="395"/>
      <c r="S26" s="395"/>
      <c r="T26" s="395"/>
      <c r="U26" s="395"/>
      <c r="V26" s="395"/>
      <c r="W26" s="410"/>
      <c r="X26" s="415"/>
      <c r="Y26" s="390"/>
      <c r="AB26" s="29"/>
      <c r="AC26" s="29"/>
      <c r="AD26" s="33"/>
      <c r="AE26" s="33"/>
      <c r="AF26" s="33"/>
      <c r="AG26" s="29"/>
      <c r="AH26" s="33"/>
    </row>
    <row r="27" spans="1:39" ht="13.5" customHeight="1" x14ac:dyDescent="0.15">
      <c r="A27" s="390"/>
      <c r="B27" s="390"/>
      <c r="C27" s="393"/>
      <c r="D27" s="393"/>
      <c r="E27" s="393"/>
      <c r="F27" s="393"/>
      <c r="G27" s="393"/>
      <c r="H27" s="393"/>
      <c r="I27" s="393"/>
      <c r="J27" s="393"/>
      <c r="K27" s="393"/>
      <c r="L27" s="393"/>
      <c r="M27" s="393"/>
      <c r="N27" s="393"/>
      <c r="O27" s="393"/>
      <c r="P27" s="390"/>
      <c r="Q27" s="390"/>
      <c r="R27" s="390"/>
      <c r="S27" s="390"/>
      <c r="T27" s="393"/>
      <c r="U27" s="393"/>
      <c r="V27" s="393"/>
      <c r="W27" s="393"/>
      <c r="X27" s="404"/>
      <c r="AB27" s="516"/>
    </row>
    <row r="28" spans="1:39" ht="13.5" customHeight="1" x14ac:dyDescent="0.15">
      <c r="A28" s="390" t="s">
        <v>220</v>
      </c>
      <c r="B28" s="393"/>
      <c r="C28" s="393"/>
      <c r="D28" s="393"/>
      <c r="E28" s="393"/>
      <c r="F28" s="393"/>
      <c r="G28" s="393"/>
      <c r="H28" s="393"/>
      <c r="I28" s="393"/>
      <c r="J28" s="393"/>
      <c r="K28" s="393"/>
      <c r="L28" s="393"/>
      <c r="M28" s="393"/>
      <c r="N28" s="390" t="s">
        <v>295</v>
      </c>
      <c r="O28" s="390"/>
      <c r="P28" s="390"/>
      <c r="Q28" s="390"/>
      <c r="R28" s="390"/>
      <c r="S28" s="390"/>
      <c r="T28" s="390"/>
      <c r="U28" s="390"/>
      <c r="V28" s="390"/>
      <c r="W28" s="390"/>
      <c r="X28" s="404"/>
    </row>
    <row r="29" spans="1:39" ht="13.5" customHeight="1" x14ac:dyDescent="0.15">
      <c r="A29" s="390"/>
      <c r="B29" s="390" t="s">
        <v>32</v>
      </c>
      <c r="C29" s="390"/>
      <c r="D29" s="393"/>
      <c r="E29" s="390" t="s">
        <v>32</v>
      </c>
      <c r="F29" s="390"/>
      <c r="G29" s="390"/>
      <c r="H29" s="489" t="s">
        <v>96</v>
      </c>
      <c r="I29" s="390"/>
      <c r="J29" s="390"/>
      <c r="K29" t="s">
        <v>32</v>
      </c>
      <c r="L29" s="390"/>
      <c r="M29" s="393"/>
      <c r="N29" s="482"/>
      <c r="O29" s="400"/>
      <c r="P29" s="400"/>
      <c r="Q29" s="400"/>
      <c r="R29" s="400"/>
      <c r="S29" s="400"/>
      <c r="T29" s="400"/>
      <c r="U29" s="400"/>
      <c r="V29" s="400"/>
      <c r="W29" s="396"/>
      <c r="X29" s="404"/>
    </row>
    <row r="30" spans="1:39" ht="13.5" customHeight="1" x14ac:dyDescent="0.15">
      <c r="A30" s="900" t="s">
        <v>100</v>
      </c>
      <c r="B30" s="900"/>
      <c r="C30" s="390"/>
      <c r="D30" s="1037" t="s">
        <v>97</v>
      </c>
      <c r="E30" s="1037"/>
      <c r="F30" s="483"/>
      <c r="G30" s="1038" t="s">
        <v>98</v>
      </c>
      <c r="H30" s="1038"/>
      <c r="I30" s="483"/>
      <c r="J30" s="1018" t="s">
        <v>99</v>
      </c>
      <c r="K30" s="1018"/>
      <c r="L30" s="483"/>
      <c r="M30" s="393"/>
      <c r="N30" s="394"/>
      <c r="O30" s="390"/>
      <c r="P30" s="390"/>
      <c r="Q30" s="390"/>
      <c r="R30" s="390"/>
      <c r="S30" s="390"/>
      <c r="T30" s="390"/>
      <c r="U30" s="390"/>
      <c r="V30" s="484"/>
      <c r="W30" s="391"/>
      <c r="X30" s="402"/>
      <c r="Z30" s="29"/>
      <c r="AA30" s="29"/>
      <c r="AB30" s="29"/>
    </row>
    <row r="31" spans="1:39" ht="13.5" customHeight="1" x14ac:dyDescent="0.15">
      <c r="A31" s="1030" t="e">
        <f>D31-G31+J31</f>
        <v>#REF!</v>
      </c>
      <c r="B31" s="1002"/>
      <c r="C31" s="1031" t="s">
        <v>103</v>
      </c>
      <c r="D31" s="1030" t="e">
        <f>#REF!</f>
        <v>#REF!</v>
      </c>
      <c r="E31" s="1002"/>
      <c r="F31" s="1031" t="s">
        <v>101</v>
      </c>
      <c r="G31" s="1030" t="e">
        <f>#REF!</f>
        <v>#REF!</v>
      </c>
      <c r="H31" s="1002"/>
      <c r="I31" s="1032" t="s">
        <v>102</v>
      </c>
      <c r="J31" s="1039" t="e">
        <f>#REF!</f>
        <v>#REF!</v>
      </c>
      <c r="K31" s="1039"/>
      <c r="L31" s="390"/>
      <c r="M31" s="393"/>
      <c r="N31" s="394"/>
      <c r="O31" s="390"/>
      <c r="P31" s="390"/>
      <c r="Q31" s="390"/>
      <c r="R31" s="390"/>
      <c r="S31" s="390"/>
      <c r="T31" s="390"/>
      <c r="U31" s="390"/>
      <c r="V31" s="485"/>
      <c r="W31" s="391"/>
      <c r="X31" s="402"/>
      <c r="Z31" s="401"/>
      <c r="AA31" s="393"/>
      <c r="AB31" s="393"/>
      <c r="AC31" s="393"/>
      <c r="AD31" s="393"/>
      <c r="AE31" s="390"/>
      <c r="AF31" s="390"/>
      <c r="AG31" s="390"/>
      <c r="AH31" s="390"/>
      <c r="AI31" s="393"/>
      <c r="AJ31" s="393"/>
      <c r="AK31" s="393"/>
      <c r="AL31" s="393"/>
      <c r="AM31" s="393"/>
    </row>
    <row r="32" spans="1:39" ht="13.5" customHeight="1" x14ac:dyDescent="0.15">
      <c r="A32" s="1002"/>
      <c r="B32" s="1002"/>
      <c r="C32" s="1031"/>
      <c r="D32" s="1002"/>
      <c r="E32" s="1002"/>
      <c r="F32" s="1031"/>
      <c r="G32" s="1002"/>
      <c r="H32" s="1002"/>
      <c r="I32" s="1032"/>
      <c r="J32" s="1039"/>
      <c r="K32" s="1039"/>
      <c r="L32" s="390"/>
      <c r="M32" s="393"/>
      <c r="N32" s="394"/>
      <c r="O32" s="390"/>
      <c r="P32" s="390"/>
      <c r="Q32" s="390"/>
      <c r="R32" s="390"/>
      <c r="S32" s="390"/>
      <c r="T32" s="390"/>
      <c r="U32" s="390"/>
      <c r="V32" s="390"/>
      <c r="W32" s="392"/>
      <c r="X32" s="402"/>
      <c r="Z32" s="401"/>
      <c r="AA32" s="393"/>
      <c r="AB32" s="393"/>
      <c r="AC32" s="393"/>
      <c r="AD32" s="393"/>
      <c r="AE32" s="390"/>
      <c r="AF32" s="390"/>
      <c r="AG32" s="390"/>
      <c r="AH32" s="390"/>
      <c r="AI32" s="393"/>
      <c r="AJ32" s="393"/>
      <c r="AK32" s="393"/>
      <c r="AL32" s="393"/>
      <c r="AM32" s="393"/>
    </row>
    <row r="33" spans="1:39" ht="13.5" customHeight="1" x14ac:dyDescent="0.15">
      <c r="A33" s="393"/>
      <c r="B33" s="393"/>
      <c r="C33" s="393"/>
      <c r="D33" s="1040"/>
      <c r="E33" s="1040"/>
      <c r="F33" s="490"/>
      <c r="G33" s="390"/>
      <c r="H33" s="393"/>
      <c r="I33" s="393"/>
      <c r="J33" s="393"/>
      <c r="K33" s="393"/>
      <c r="L33" s="393"/>
      <c r="M33" s="393"/>
      <c r="N33" s="394"/>
      <c r="O33" s="682" t="s">
        <v>188</v>
      </c>
      <c r="P33" s="1041" t="s">
        <v>27</v>
      </c>
      <c r="Q33" s="1042"/>
      <c r="R33" s="1047" t="s">
        <v>110</v>
      </c>
      <c r="S33" s="390"/>
      <c r="T33" s="390"/>
      <c r="U33" s="390"/>
      <c r="V33" s="390"/>
      <c r="W33" s="392"/>
      <c r="X33" s="402"/>
      <c r="Z33" s="402"/>
      <c r="AA33" s="393"/>
      <c r="AB33" s="393"/>
      <c r="AC33" s="393"/>
      <c r="AD33" s="393"/>
      <c r="AE33" s="1050"/>
      <c r="AF33" s="1050"/>
      <c r="AG33" s="393"/>
      <c r="AH33" s="393"/>
      <c r="AI33" s="517"/>
      <c r="AJ33" s="393"/>
      <c r="AK33" s="393"/>
      <c r="AL33" s="393"/>
      <c r="AM33" s="393"/>
    </row>
    <row r="34" spans="1:39" ht="13.5" customHeight="1" thickBot="1" x14ac:dyDescent="0.2">
      <c r="A34" s="390" t="s">
        <v>449</v>
      </c>
      <c r="B34" s="390"/>
      <c r="C34" s="390"/>
      <c r="D34" s="390"/>
      <c r="E34" s="390"/>
      <c r="F34" s="390"/>
      <c r="G34" s="390"/>
      <c r="H34" s="390"/>
      <c r="I34" s="390"/>
      <c r="J34" s="390"/>
      <c r="K34" s="390"/>
      <c r="L34" s="390"/>
      <c r="M34" s="393"/>
      <c r="N34" s="394"/>
      <c r="O34" s="390" t="s">
        <v>187</v>
      </c>
      <c r="P34" s="1043"/>
      <c r="Q34" s="1044"/>
      <c r="R34" s="1048"/>
      <c r="S34" s="390"/>
      <c r="T34" s="390"/>
      <c r="U34" s="390"/>
      <c r="V34" s="390"/>
      <c r="W34" s="413"/>
      <c r="X34" s="393"/>
      <c r="Y34" s="29"/>
      <c r="Z34" s="402"/>
      <c r="AA34" s="393"/>
      <c r="AB34" s="393"/>
      <c r="AC34" s="393"/>
      <c r="AD34" s="1051"/>
      <c r="AE34" s="1051"/>
      <c r="AF34" s="518"/>
      <c r="AG34" s="393"/>
      <c r="AH34" s="519"/>
      <c r="AI34" s="519"/>
      <c r="AJ34" s="393"/>
      <c r="AK34" s="393"/>
      <c r="AL34" s="393"/>
      <c r="AM34" s="393"/>
    </row>
    <row r="35" spans="1:39" ht="13.5" customHeight="1" thickBot="1" x14ac:dyDescent="0.2">
      <c r="A35" s="1066"/>
      <c r="B35" s="1067"/>
      <c r="C35" s="1068" t="e">
        <f>A7</f>
        <v>#REF!</v>
      </c>
      <c r="D35" s="1069"/>
      <c r="E35" s="1070" t="e">
        <f>A8</f>
        <v>#REF!</v>
      </c>
      <c r="F35" s="1071"/>
      <c r="G35" s="1072" t="e">
        <f>A9</f>
        <v>#REF!</v>
      </c>
      <c r="H35" s="1073"/>
      <c r="I35" s="1074" t="s">
        <v>110</v>
      </c>
      <c r="J35" s="1075"/>
      <c r="K35" s="1066" t="s">
        <v>122</v>
      </c>
      <c r="L35" s="1076"/>
      <c r="M35" s="29"/>
      <c r="N35" s="30"/>
      <c r="O35" s="683" t="s">
        <v>186</v>
      </c>
      <c r="P35" s="1043"/>
      <c r="Q35" s="1044"/>
      <c r="R35" s="1048"/>
      <c r="S35" s="1052" t="s">
        <v>119</v>
      </c>
      <c r="T35" s="1052"/>
      <c r="U35" s="1052"/>
      <c r="V35" s="1053"/>
      <c r="W35" s="397"/>
      <c r="X35" s="390"/>
      <c r="Y35" s="29"/>
      <c r="Z35" s="402"/>
      <c r="AA35" s="393"/>
      <c r="AB35" s="393"/>
      <c r="AC35" s="393"/>
      <c r="AD35" s="520"/>
      <c r="AE35" s="521"/>
      <c r="AF35" s="521"/>
      <c r="AG35" s="393"/>
      <c r="AH35" s="519"/>
      <c r="AI35" s="522"/>
      <c r="AJ35" s="393"/>
      <c r="AK35" s="393"/>
      <c r="AL35" s="393"/>
      <c r="AM35" s="393"/>
    </row>
    <row r="36" spans="1:39" ht="13.5" customHeight="1" thickTop="1" x14ac:dyDescent="0.15">
      <c r="A36" s="1060" t="s">
        <v>107</v>
      </c>
      <c r="B36" s="1061"/>
      <c r="C36" s="1062" t="e">
        <f>#REF!/1000</f>
        <v>#REF!</v>
      </c>
      <c r="D36" s="1062"/>
      <c r="E36" s="1062" t="e">
        <f>#REF!/1000</f>
        <v>#REF!</v>
      </c>
      <c r="F36" s="1062"/>
      <c r="G36" s="1062" t="e">
        <f>#REF!/1000</f>
        <v>#REF!</v>
      </c>
      <c r="H36" s="1062"/>
      <c r="I36" s="1062">
        <v>0</v>
      </c>
      <c r="J36" s="1063"/>
      <c r="K36" s="1064" t="e">
        <f>SUM(C36:J36)</f>
        <v>#REF!</v>
      </c>
      <c r="L36" s="1065"/>
      <c r="M36" s="390"/>
      <c r="N36" s="394"/>
      <c r="O36" s="683" t="s">
        <v>185</v>
      </c>
      <c r="P36" s="1043"/>
      <c r="Q36" s="1044"/>
      <c r="R36" s="1048"/>
      <c r="S36" s="1054"/>
      <c r="T36" s="1054"/>
      <c r="U36" s="1054"/>
      <c r="V36" s="1055"/>
      <c r="W36" s="397"/>
      <c r="X36" s="390"/>
      <c r="Y36" s="29"/>
      <c r="Z36" s="402"/>
      <c r="AA36" s="393"/>
      <c r="AB36" s="393"/>
      <c r="AC36" s="393"/>
      <c r="AD36" s="520"/>
      <c r="AE36" s="1058"/>
      <c r="AF36" s="1058"/>
      <c r="AG36" s="393"/>
      <c r="AH36" s="519"/>
      <c r="AI36" s="523"/>
      <c r="AJ36" s="393"/>
      <c r="AK36" s="390"/>
      <c r="AL36" s="390"/>
      <c r="AM36" s="393"/>
    </row>
    <row r="37" spans="1:39" ht="13.5" customHeight="1" x14ac:dyDescent="0.15">
      <c r="A37" s="1086" t="s">
        <v>105</v>
      </c>
      <c r="B37" s="1087"/>
      <c r="C37" s="1088" t="str">
        <f>IF(ISERROR(#REF!),"-",#REF!)</f>
        <v>-</v>
      </c>
      <c r="D37" s="1089"/>
      <c r="E37" s="1088" t="str">
        <f>IF(ISERROR(#REF!),"-",#REF!)</f>
        <v>-</v>
      </c>
      <c r="F37" s="1089"/>
      <c r="G37" s="1090" t="str">
        <f>IF(ISERROR(#REF!),"-",#REF!)</f>
        <v>-</v>
      </c>
      <c r="H37" s="1091"/>
      <c r="I37" s="1090">
        <v>0</v>
      </c>
      <c r="J37" s="1092"/>
      <c r="K37" s="1093" t="s">
        <v>222</v>
      </c>
      <c r="L37" s="1094"/>
      <c r="M37" s="390"/>
      <c r="N37" s="394"/>
      <c r="O37" s="683" t="s">
        <v>184</v>
      </c>
      <c r="P37" s="1043"/>
      <c r="Q37" s="1044"/>
      <c r="R37" s="1048"/>
      <c r="S37" s="1054"/>
      <c r="T37" s="1054"/>
      <c r="U37" s="1054"/>
      <c r="V37" s="1055"/>
      <c r="W37" s="397"/>
      <c r="X37" s="390"/>
      <c r="Y37" s="29"/>
      <c r="Z37" s="402"/>
      <c r="AA37" s="393"/>
      <c r="AB37" s="393"/>
      <c r="AC37" s="393"/>
      <c r="AD37" s="521"/>
      <c r="AE37" s="521"/>
      <c r="AF37" s="521"/>
      <c r="AG37" s="393"/>
      <c r="AH37" s="524"/>
      <c r="AI37" s="524"/>
      <c r="AJ37" s="393"/>
      <c r="AK37" s="390"/>
      <c r="AL37" s="390"/>
      <c r="AM37" s="393"/>
    </row>
    <row r="38" spans="1:39" ht="13.5" customHeight="1" thickBot="1" x14ac:dyDescent="0.2">
      <c r="A38" s="1077" t="s">
        <v>106</v>
      </c>
      <c r="B38" s="1078"/>
      <c r="C38" s="1079" t="str">
        <f>IF(ISERROR(#REF!),"-",#REF!)</f>
        <v>-</v>
      </c>
      <c r="D38" s="1080"/>
      <c r="E38" s="1079" t="str">
        <f>IF(ISERROR(#REF!),"-",#REF!)</f>
        <v>-</v>
      </c>
      <c r="F38" s="1080"/>
      <c r="G38" s="1081" t="str">
        <f>IF(ISERROR(#REF!),"-",#REF!)</f>
        <v>-</v>
      </c>
      <c r="H38" s="1082"/>
      <c r="I38" s="1081">
        <v>0</v>
      </c>
      <c r="J38" s="1083"/>
      <c r="K38" s="1084" t="s">
        <v>140</v>
      </c>
      <c r="L38" s="1085"/>
      <c r="N38" s="21"/>
      <c r="O38" s="684" t="s">
        <v>183</v>
      </c>
      <c r="P38" s="1043"/>
      <c r="Q38" s="1044"/>
      <c r="R38" s="1048"/>
      <c r="S38" s="1054"/>
      <c r="T38" s="1054"/>
      <c r="U38" s="1054"/>
      <c r="V38" s="1055"/>
      <c r="W38" s="392"/>
      <c r="X38" s="486"/>
      <c r="Y38" s="29"/>
      <c r="Z38" s="402"/>
      <c r="AA38" s="393"/>
      <c r="AB38" s="393"/>
      <c r="AC38" s="393"/>
      <c r="AD38" s="521"/>
      <c r="AE38" s="521"/>
      <c r="AF38" s="521"/>
      <c r="AG38" s="393"/>
      <c r="AH38" s="524"/>
      <c r="AI38" s="524"/>
      <c r="AJ38" s="390"/>
      <c r="AK38" s="390"/>
      <c r="AL38" s="412"/>
      <c r="AM38" s="393"/>
    </row>
    <row r="39" spans="1:39" ht="13.5" customHeight="1" x14ac:dyDescent="0.15">
      <c r="A39" s="390"/>
      <c r="B39" s="390"/>
      <c r="C39" s="390"/>
      <c r="D39" s="390"/>
      <c r="E39" s="390"/>
      <c r="F39" s="390"/>
      <c r="G39" s="390"/>
      <c r="H39" s="390"/>
      <c r="I39" s="390"/>
      <c r="J39" s="390"/>
      <c r="K39" s="390"/>
      <c r="L39" s="390"/>
      <c r="M39" s="390"/>
      <c r="N39" s="399"/>
      <c r="O39" s="485" t="s">
        <v>182</v>
      </c>
      <c r="P39" s="1043"/>
      <c r="Q39" s="1044"/>
      <c r="R39" s="1048"/>
      <c r="S39" s="1054"/>
      <c r="T39" s="1054"/>
      <c r="U39" s="1054"/>
      <c r="V39" s="1055"/>
      <c r="W39" s="392"/>
      <c r="X39" s="485"/>
      <c r="Z39" s="390"/>
      <c r="AA39" s="393"/>
      <c r="AB39" s="393"/>
      <c r="AC39" s="393"/>
      <c r="AD39" s="520"/>
      <c r="AE39" s="520"/>
      <c r="AF39" s="520"/>
      <c r="AG39" s="393"/>
      <c r="AH39" s="1103"/>
      <c r="AI39" s="1103"/>
      <c r="AJ39" s="390"/>
      <c r="AK39" s="524"/>
      <c r="AL39" s="524"/>
      <c r="AM39" s="393"/>
    </row>
    <row r="40" spans="1:39" ht="13.5" customHeight="1" thickBot="1" x14ac:dyDescent="0.2">
      <c r="A40" s="390" t="s">
        <v>450</v>
      </c>
      <c r="B40" s="390"/>
      <c r="C40" s="390"/>
      <c r="D40" s="390"/>
      <c r="E40" s="390"/>
      <c r="F40" s="390"/>
      <c r="G40" s="390"/>
      <c r="H40" s="390"/>
      <c r="I40" s="390"/>
      <c r="J40" s="390"/>
      <c r="K40" s="390"/>
      <c r="L40" s="390"/>
      <c r="M40" s="390"/>
      <c r="N40" s="399"/>
      <c r="O40" s="683" t="s">
        <v>181</v>
      </c>
      <c r="P40" s="1043"/>
      <c r="Q40" s="1044"/>
      <c r="R40" s="1048"/>
      <c r="S40" s="1054"/>
      <c r="T40" s="1054"/>
      <c r="U40" s="1054"/>
      <c r="V40" s="1055"/>
      <c r="W40" s="392"/>
      <c r="X40" s="487"/>
      <c r="Z40" s="390"/>
      <c r="AA40" s="393"/>
      <c r="AB40" s="393"/>
      <c r="AC40" s="393"/>
      <c r="AD40" s="520"/>
      <c r="AE40" s="1058"/>
      <c r="AF40" s="1058"/>
      <c r="AG40" s="393"/>
      <c r="AH40" s="525"/>
      <c r="AI40" s="526"/>
      <c r="AJ40" s="393"/>
      <c r="AK40" s="524"/>
      <c r="AL40" s="527"/>
      <c r="AM40" s="390"/>
    </row>
    <row r="41" spans="1:39" ht="13.5" customHeight="1" thickBot="1" x14ac:dyDescent="0.2">
      <c r="A41" s="1066"/>
      <c r="B41" s="1067"/>
      <c r="C41" s="1068" t="e">
        <f>C35</f>
        <v>#REF!</v>
      </c>
      <c r="D41" s="1069"/>
      <c r="E41" s="1070" t="e">
        <f>E35</f>
        <v>#REF!</v>
      </c>
      <c r="F41" s="1071"/>
      <c r="G41" s="1072" t="e">
        <f>G35</f>
        <v>#REF!</v>
      </c>
      <c r="H41" s="1073"/>
      <c r="I41" s="1074" t="s">
        <v>110</v>
      </c>
      <c r="J41" s="1075"/>
      <c r="K41" s="1066" t="s">
        <v>122</v>
      </c>
      <c r="L41" s="1076"/>
      <c r="M41" s="390"/>
      <c r="N41" s="399"/>
      <c r="O41" s="685" t="s">
        <v>180</v>
      </c>
      <c r="P41" s="1043"/>
      <c r="Q41" s="1044"/>
      <c r="R41" s="1048"/>
      <c r="S41" s="1054"/>
      <c r="T41" s="1054"/>
      <c r="U41" s="1054"/>
      <c r="V41" s="1055"/>
      <c r="W41" s="392"/>
      <c r="X41" s="485"/>
      <c r="Y41" s="25"/>
      <c r="Z41" s="390"/>
      <c r="AA41" s="390"/>
      <c r="AB41" s="393"/>
      <c r="AC41" s="393"/>
      <c r="AD41" s="520"/>
      <c r="AE41" s="520"/>
      <c r="AF41" s="520"/>
      <c r="AG41" s="393"/>
      <c r="AH41" s="525"/>
      <c r="AI41" s="525"/>
      <c r="AJ41" s="393"/>
      <c r="AK41" s="528"/>
      <c r="AL41" s="528"/>
      <c r="AM41" s="390"/>
    </row>
    <row r="42" spans="1:39" ht="13.5" customHeight="1" thickTop="1" x14ac:dyDescent="0.15">
      <c r="A42" s="1060" t="s">
        <v>107</v>
      </c>
      <c r="B42" s="1061"/>
      <c r="C42" s="1062" t="e">
        <f>C7*C43/1000</f>
        <v>#REF!</v>
      </c>
      <c r="D42" s="1062"/>
      <c r="E42" s="1062" t="e">
        <f>C8*E43/1000</f>
        <v>#REF!</v>
      </c>
      <c r="F42" s="1062"/>
      <c r="G42" s="1062" t="e">
        <f>C9*G43/1000</f>
        <v>#REF!</v>
      </c>
      <c r="H42" s="1062"/>
      <c r="I42" s="1062">
        <v>0</v>
      </c>
      <c r="J42" s="1063"/>
      <c r="K42" s="1064" t="e">
        <f>SUM(C42:J42)</f>
        <v>#REF!</v>
      </c>
      <c r="L42" s="1065"/>
      <c r="M42" s="390"/>
      <c r="N42" s="399"/>
      <c r="O42" s="540" t="s">
        <v>124</v>
      </c>
      <c r="P42" s="1045"/>
      <c r="Q42" s="1046"/>
      <c r="R42" s="1049"/>
      <c r="S42" s="1056"/>
      <c r="T42" s="1056"/>
      <c r="U42" s="1056"/>
      <c r="V42" s="1057"/>
      <c r="W42" s="392"/>
      <c r="X42" s="485"/>
      <c r="Y42" s="93"/>
      <c r="Z42" s="390"/>
      <c r="AA42" s="390"/>
      <c r="AB42" s="393"/>
      <c r="AC42" s="393"/>
      <c r="AD42" s="521"/>
      <c r="AE42" s="521"/>
      <c r="AF42" s="521"/>
      <c r="AG42" s="393"/>
      <c r="AH42" s="525"/>
      <c r="AI42" s="525"/>
      <c r="AJ42" s="393"/>
      <c r="AK42" s="528"/>
      <c r="AL42" s="528"/>
      <c r="AM42" s="390"/>
    </row>
    <row r="43" spans="1:39" ht="13.5" customHeight="1" x14ac:dyDescent="0.15">
      <c r="A43" s="1086" t="s">
        <v>105</v>
      </c>
      <c r="B43" s="1087"/>
      <c r="C43" s="1088">
        <f>C44*0.3025</f>
        <v>665.5</v>
      </c>
      <c r="D43" s="1089"/>
      <c r="E43" s="1088">
        <f>E44*0.3025</f>
        <v>544.5</v>
      </c>
      <c r="F43" s="1089"/>
      <c r="G43" s="1090">
        <f>G44*0.3025</f>
        <v>574.75</v>
      </c>
      <c r="H43" s="1091"/>
      <c r="I43" s="1090">
        <v>0</v>
      </c>
      <c r="J43" s="1092"/>
      <c r="K43" s="1093" t="s">
        <v>323</v>
      </c>
      <c r="L43" s="1094"/>
      <c r="M43" s="390"/>
      <c r="N43" s="399"/>
      <c r="O43" s="485" t="s">
        <v>125</v>
      </c>
      <c r="P43" s="1097" t="s">
        <v>108</v>
      </c>
      <c r="Q43" s="1098"/>
      <c r="R43" s="1098"/>
      <c r="S43" s="1098"/>
      <c r="T43" s="1098"/>
      <c r="U43" s="1098"/>
      <c r="V43" s="1099"/>
      <c r="W43" s="392"/>
      <c r="X43" s="487"/>
      <c r="Y43" s="93"/>
      <c r="Z43" s="390"/>
      <c r="AA43" s="390"/>
      <c r="AB43" s="393"/>
      <c r="AC43" s="393"/>
      <c r="AD43" s="521"/>
      <c r="AE43" s="521"/>
      <c r="AF43" s="521"/>
      <c r="AG43" s="393"/>
      <c r="AH43" s="525"/>
      <c r="AI43" s="525"/>
      <c r="AJ43" s="390"/>
      <c r="AK43" s="529"/>
      <c r="AL43" s="529"/>
      <c r="AM43" s="404"/>
    </row>
    <row r="44" spans="1:39" ht="13.5" customHeight="1" thickBot="1" x14ac:dyDescent="0.2">
      <c r="A44" s="1077" t="s">
        <v>106</v>
      </c>
      <c r="B44" s="1078"/>
      <c r="C44" s="1079">
        <v>2200</v>
      </c>
      <c r="D44" s="1080"/>
      <c r="E44" s="1079">
        <v>1800</v>
      </c>
      <c r="F44" s="1080"/>
      <c r="G44" s="1081">
        <v>1900</v>
      </c>
      <c r="H44" s="1082"/>
      <c r="I44" s="1081">
        <v>0</v>
      </c>
      <c r="J44" s="1083"/>
      <c r="K44" s="1084" t="s">
        <v>323</v>
      </c>
      <c r="L44" s="1085"/>
      <c r="M44" s="390"/>
      <c r="N44" s="399"/>
      <c r="O44" s="541" t="s">
        <v>116</v>
      </c>
      <c r="P44" s="1100"/>
      <c r="Q44" s="1101"/>
      <c r="R44" s="1101"/>
      <c r="S44" s="1101"/>
      <c r="T44" s="1101"/>
      <c r="U44" s="1101"/>
      <c r="V44" s="1102"/>
      <c r="W44" s="392"/>
      <c r="X44" s="485"/>
      <c r="Y44" s="93"/>
      <c r="Z44" s="390"/>
      <c r="AA44" s="390"/>
      <c r="AB44" s="393"/>
      <c r="AC44" s="393"/>
      <c r="AD44" s="520"/>
      <c r="AE44" s="520"/>
      <c r="AF44" s="520"/>
      <c r="AG44" s="393"/>
      <c r="AH44" s="525"/>
      <c r="AI44" s="525"/>
      <c r="AJ44" s="393"/>
      <c r="AK44" s="524"/>
      <c r="AL44" s="524"/>
      <c r="AM44" s="390"/>
    </row>
    <row r="45" spans="1:39" ht="13.5" customHeight="1" thickBot="1" x14ac:dyDescent="0.2">
      <c r="A45" s="390"/>
      <c r="B45" s="390"/>
      <c r="C45" s="390"/>
      <c r="D45" s="390"/>
      <c r="E45" s="390"/>
      <c r="F45" s="390"/>
      <c r="G45" s="390"/>
      <c r="H45" s="390"/>
      <c r="I45" s="390"/>
      <c r="J45" s="390"/>
      <c r="K45" s="390"/>
      <c r="L45" s="390"/>
      <c r="M45" s="390"/>
      <c r="N45" s="414"/>
      <c r="O45" s="395"/>
      <c r="P45" s="395"/>
      <c r="Q45" s="395"/>
      <c r="R45" s="395"/>
      <c r="S45" s="395"/>
      <c r="T45" s="395"/>
      <c r="U45" s="395"/>
      <c r="V45" s="395"/>
      <c r="W45" s="395"/>
      <c r="X45" s="488"/>
      <c r="Y45" s="93"/>
      <c r="Z45" s="390"/>
      <c r="AA45" s="390"/>
      <c r="AB45" s="393"/>
      <c r="AC45" s="393"/>
      <c r="AD45" s="520"/>
      <c r="AE45" s="520"/>
      <c r="AF45" s="520"/>
      <c r="AG45" s="393"/>
      <c r="AH45" s="525"/>
      <c r="AI45" s="525"/>
      <c r="AJ45" s="393"/>
      <c r="AK45" s="524"/>
      <c r="AL45" s="524"/>
      <c r="AM45" s="404"/>
    </row>
    <row r="46" spans="1:39" ht="13.5" customHeight="1" thickBot="1" x14ac:dyDescent="0.2">
      <c r="A46" s="390"/>
      <c r="B46" s="390"/>
      <c r="C46" s="390"/>
      <c r="D46" s="390"/>
      <c r="E46" s="390"/>
      <c r="F46" s="390"/>
      <c r="G46" s="390"/>
      <c r="H46" s="390"/>
      <c r="I46" s="390"/>
      <c r="J46" s="390"/>
      <c r="K46" s="1129" t="s">
        <v>375</v>
      </c>
      <c r="L46" s="1130"/>
      <c r="M46" s="390"/>
      <c r="N46" s="390"/>
      <c r="O46" s="390"/>
      <c r="P46" s="390"/>
      <c r="Q46" s="390"/>
      <c r="R46" s="390"/>
      <c r="S46" s="390"/>
      <c r="T46" s="390"/>
      <c r="U46" s="390"/>
      <c r="V46" s="390"/>
      <c r="W46" s="390"/>
      <c r="X46" s="485"/>
      <c r="Y46" s="93"/>
      <c r="Z46" s="390"/>
      <c r="AA46" s="390"/>
      <c r="AB46" s="393"/>
      <c r="AC46" s="393"/>
      <c r="AD46" s="520"/>
      <c r="AE46" s="520"/>
      <c r="AF46" s="520"/>
      <c r="AG46" s="393"/>
      <c r="AH46" s="525"/>
      <c r="AI46" s="525"/>
      <c r="AJ46" s="393"/>
      <c r="AK46" s="524"/>
      <c r="AL46" s="524"/>
      <c r="AM46" s="404"/>
    </row>
    <row r="47" spans="1:39" ht="13.5" customHeight="1" thickTop="1" thickBot="1" x14ac:dyDescent="0.2">
      <c r="A47" s="1031"/>
      <c r="B47" s="1031"/>
      <c r="C47" s="1031"/>
      <c r="D47" s="1031"/>
      <c r="E47" s="1031"/>
      <c r="F47" s="1031"/>
      <c r="G47" s="1031"/>
      <c r="H47" s="1031"/>
      <c r="I47" s="1031"/>
      <c r="J47" s="1031"/>
      <c r="K47" s="1126" t="e">
        <f>K36-K42</f>
        <v>#REF!</v>
      </c>
      <c r="L47" s="1127"/>
      <c r="M47" s="489" t="s">
        <v>376</v>
      </c>
      <c r="N47" s="390"/>
      <c r="O47" s="390"/>
      <c r="P47" s="390"/>
      <c r="Q47" s="390"/>
      <c r="R47" s="390"/>
      <c r="S47" s="390"/>
      <c r="T47" s="390"/>
      <c r="U47" s="390"/>
      <c r="V47" s="390"/>
      <c r="W47" s="390"/>
      <c r="X47" s="485"/>
      <c r="Y47" s="93"/>
      <c r="Z47" s="390"/>
      <c r="AA47" s="390"/>
      <c r="AB47" s="393"/>
      <c r="AC47" s="393"/>
      <c r="AD47" s="520"/>
      <c r="AE47" s="520"/>
      <c r="AF47" s="520"/>
      <c r="AG47" s="393"/>
      <c r="AH47" s="525"/>
      <c r="AI47" s="525"/>
      <c r="AJ47" s="393"/>
      <c r="AK47" s="524"/>
      <c r="AL47" s="524"/>
      <c r="AM47" s="404"/>
    </row>
    <row r="48" spans="1:39" ht="13.5" customHeight="1" x14ac:dyDescent="0.15">
      <c r="A48" s="1031"/>
      <c r="B48" s="1031"/>
      <c r="C48" s="1059"/>
      <c r="D48" s="1059"/>
      <c r="E48" s="1059"/>
      <c r="F48" s="1059"/>
      <c r="G48" s="1059"/>
      <c r="H48" s="1059"/>
      <c r="I48" s="1059"/>
      <c r="J48" s="1059"/>
      <c r="K48" s="1059"/>
      <c r="L48" s="1059"/>
      <c r="M48" s="390"/>
      <c r="N48" s="390"/>
      <c r="O48" s="390"/>
      <c r="P48" s="390"/>
      <c r="Q48" s="390"/>
      <c r="R48" s="390"/>
      <c r="S48" s="390"/>
      <c r="T48" s="390"/>
      <c r="U48" s="390"/>
      <c r="V48" s="390"/>
      <c r="W48" s="390"/>
      <c r="X48" s="485"/>
      <c r="Y48" s="93"/>
      <c r="Z48" s="390"/>
      <c r="AA48" s="390"/>
      <c r="AB48" s="393"/>
      <c r="AC48" s="393"/>
      <c r="AD48" s="520"/>
      <c r="AE48" s="520"/>
      <c r="AF48" s="520"/>
      <c r="AG48" s="393"/>
      <c r="AH48" s="525"/>
      <c r="AI48" s="525"/>
      <c r="AJ48" s="393"/>
      <c r="AK48" s="524"/>
      <c r="AL48" s="524"/>
      <c r="AM48" s="404"/>
    </row>
    <row r="49" spans="1:39" ht="13.5" customHeight="1" x14ac:dyDescent="0.15">
      <c r="A49" s="390"/>
      <c r="B49" s="390"/>
      <c r="C49" s="390"/>
      <c r="D49" s="390"/>
      <c r="E49" s="390"/>
      <c r="F49" s="390"/>
      <c r="G49" s="390"/>
      <c r="H49" s="390"/>
      <c r="I49" s="390"/>
      <c r="J49" s="390"/>
      <c r="K49" s="390"/>
      <c r="L49" s="390"/>
      <c r="M49" s="390"/>
      <c r="N49" s="390"/>
      <c r="O49" s="390"/>
      <c r="P49" s="390"/>
      <c r="Q49" s="390"/>
      <c r="R49" s="390"/>
      <c r="S49" s="390"/>
      <c r="T49" s="390"/>
      <c r="U49" s="390"/>
      <c r="V49" s="390"/>
      <c r="W49" s="390"/>
      <c r="X49" s="487"/>
      <c r="Y49" s="93"/>
      <c r="Z49" s="390"/>
      <c r="AA49" s="390"/>
      <c r="AB49" s="393"/>
      <c r="AC49" s="393"/>
      <c r="AD49" s="521"/>
      <c r="AE49" s="521"/>
      <c r="AF49" s="521"/>
      <c r="AG49" s="393"/>
      <c r="AH49" s="530"/>
      <c r="AI49" s="530"/>
      <c r="AJ49" s="393"/>
      <c r="AK49" s="524"/>
      <c r="AL49" s="524"/>
      <c r="AM49" s="404"/>
    </row>
    <row r="50" spans="1:39" x14ac:dyDescent="0.15">
      <c r="Y50" s="93"/>
      <c r="Z50" s="390"/>
      <c r="AA50" s="390"/>
      <c r="AB50" s="393"/>
      <c r="AC50" s="393"/>
      <c r="AD50" s="521"/>
      <c r="AE50" s="521"/>
      <c r="AF50" s="521"/>
      <c r="AG50" s="393"/>
      <c r="AH50" s="530"/>
      <c r="AI50" s="530"/>
      <c r="AJ50" s="393"/>
      <c r="AK50" s="524"/>
      <c r="AL50" s="524"/>
      <c r="AM50" s="404"/>
    </row>
    <row r="51" spans="1:39" ht="13.5" customHeight="1" x14ac:dyDescent="0.15">
      <c r="Y51" s="93"/>
      <c r="Z51" s="390"/>
      <c r="AA51" s="531"/>
      <c r="AB51" s="532"/>
      <c r="AC51" s="393"/>
      <c r="AD51" s="1095"/>
      <c r="AE51" s="1095"/>
      <c r="AF51" s="533"/>
      <c r="AG51" s="393"/>
      <c r="AH51" s="525"/>
      <c r="AI51" s="525"/>
      <c r="AJ51" s="393"/>
      <c r="AK51" s="524"/>
      <c r="AL51" s="524"/>
      <c r="AM51" s="404"/>
    </row>
    <row r="52" spans="1:39" ht="13.5" customHeight="1" x14ac:dyDescent="0.15">
      <c r="Y52" s="93"/>
      <c r="Z52" s="390"/>
      <c r="AA52" s="531"/>
      <c r="AB52" s="534"/>
      <c r="AC52" s="393"/>
      <c r="AD52" s="390"/>
      <c r="AE52" s="390"/>
      <c r="AF52" s="390"/>
      <c r="AG52" s="393"/>
      <c r="AH52" s="535"/>
      <c r="AI52" s="536"/>
      <c r="AJ52" s="390"/>
      <c r="AK52" s="524"/>
      <c r="AL52" s="524"/>
      <c r="AM52" s="404"/>
    </row>
    <row r="53" spans="1:39" x14ac:dyDescent="0.15">
      <c r="Y53" s="93"/>
      <c r="Z53" s="390"/>
      <c r="AA53" s="531"/>
      <c r="AB53" s="532"/>
      <c r="AC53" s="393"/>
      <c r="AD53" s="390"/>
      <c r="AE53" s="390"/>
      <c r="AF53" s="390"/>
      <c r="AG53" s="393"/>
      <c r="AH53" s="531"/>
      <c r="AI53" s="531"/>
      <c r="AJ53" s="393"/>
      <c r="AK53" s="524"/>
      <c r="AL53" s="524"/>
      <c r="AM53" s="404"/>
    </row>
    <row r="54" spans="1:39" ht="13.5" customHeight="1" x14ac:dyDescent="0.15">
      <c r="Y54" s="93"/>
      <c r="Z54" s="390"/>
      <c r="AA54" s="531"/>
      <c r="AB54" s="532"/>
      <c r="AC54" s="390"/>
      <c r="AD54" s="390"/>
      <c r="AE54" s="390"/>
      <c r="AF54" s="390"/>
      <c r="AG54" s="390"/>
      <c r="AH54" s="531"/>
      <c r="AI54" s="531"/>
      <c r="AJ54" s="390"/>
      <c r="AK54" s="1096"/>
      <c r="AL54" s="1096"/>
      <c r="AM54" s="390"/>
    </row>
    <row r="55" spans="1:39" x14ac:dyDescent="0.15">
      <c r="W55" s="93"/>
      <c r="Y55" s="93"/>
      <c r="Z55" s="390"/>
      <c r="AA55" s="531"/>
      <c r="AB55" s="534"/>
      <c r="AC55" s="390"/>
      <c r="AD55" s="390"/>
      <c r="AE55" s="390"/>
      <c r="AF55" s="390"/>
      <c r="AG55" s="390"/>
      <c r="AH55" s="535"/>
      <c r="AI55" s="535"/>
      <c r="AJ55" s="390"/>
      <c r="AK55" s="537"/>
      <c r="AL55" s="538"/>
      <c r="AM55" s="402"/>
    </row>
    <row r="56" spans="1:39" x14ac:dyDescent="0.15">
      <c r="A56" s="1105"/>
      <c r="B56" s="1105"/>
      <c r="C56" s="1098"/>
      <c r="D56" s="1098"/>
      <c r="E56" s="1054"/>
      <c r="F56" s="1054"/>
      <c r="G56" s="1128"/>
      <c r="H56" s="1128"/>
      <c r="I56" s="1114"/>
      <c r="J56" s="1114"/>
      <c r="K56" s="1105"/>
      <c r="L56" s="1105"/>
      <c r="W56" s="86"/>
      <c r="X56" s="33"/>
      <c r="Y56" s="86"/>
      <c r="Z56" s="390"/>
      <c r="AA56" s="390"/>
      <c r="AB56" s="393"/>
      <c r="AC56" s="390"/>
      <c r="AD56" s="390"/>
      <c r="AE56" s="390"/>
      <c r="AF56" s="390"/>
      <c r="AG56" s="390"/>
      <c r="AH56" s="390"/>
      <c r="AI56" s="390"/>
      <c r="AJ56" s="390"/>
      <c r="AK56" s="390"/>
      <c r="AL56" s="539"/>
      <c r="AM56" s="402"/>
    </row>
    <row r="57" spans="1:39" x14ac:dyDescent="0.15">
      <c r="A57" s="1105"/>
      <c r="B57" s="1105"/>
      <c r="C57" s="1106"/>
      <c r="D57" s="1106"/>
      <c r="E57" s="1106"/>
      <c r="F57" s="1106"/>
      <c r="G57" s="1106"/>
      <c r="H57" s="1106"/>
      <c r="I57" s="1106"/>
      <c r="J57" s="1106"/>
      <c r="K57" s="1112"/>
      <c r="L57" s="1105"/>
      <c r="W57" s="86"/>
      <c r="X57" s="33"/>
      <c r="Y57" s="86"/>
      <c r="Z57" s="390"/>
      <c r="AA57" s="390"/>
      <c r="AB57" s="393"/>
      <c r="AC57" s="390"/>
      <c r="AD57" s="390"/>
      <c r="AE57" s="390"/>
      <c r="AF57" s="390"/>
      <c r="AG57" s="390"/>
      <c r="AH57" s="390"/>
      <c r="AI57" s="390"/>
      <c r="AJ57" s="390"/>
      <c r="AK57" s="390"/>
      <c r="AL57" s="539"/>
      <c r="AM57" s="402"/>
    </row>
    <row r="58" spans="1:39" x14ac:dyDescent="0.15">
      <c r="A58" s="1105"/>
      <c r="B58" s="1105"/>
      <c r="C58" s="1106"/>
      <c r="D58" s="1106"/>
      <c r="E58" s="1106"/>
      <c r="F58" s="1106"/>
      <c r="G58" s="1107"/>
      <c r="H58" s="1107"/>
      <c r="I58" s="1106"/>
      <c r="J58" s="1106"/>
      <c r="K58" s="1105"/>
      <c r="L58" s="1105"/>
      <c r="W58" s="86"/>
      <c r="X58" s="34"/>
      <c r="Y58" s="86"/>
    </row>
    <row r="59" spans="1:39" x14ac:dyDescent="0.15">
      <c r="A59" s="1105"/>
      <c r="B59" s="1105"/>
      <c r="C59" s="1106"/>
      <c r="D59" s="1106"/>
      <c r="E59" s="1106"/>
      <c r="F59" s="1106"/>
      <c r="G59" s="1107"/>
      <c r="H59" s="1107"/>
      <c r="I59" s="1106"/>
      <c r="J59" s="1106"/>
      <c r="K59" s="1105"/>
      <c r="L59" s="1105"/>
    </row>
    <row r="94" spans="1:12" x14ac:dyDescent="0.15">
      <c r="A94" s="29"/>
      <c r="B94" s="29"/>
      <c r="C94" s="29"/>
      <c r="E94" s="29"/>
      <c r="F94" s="29"/>
      <c r="G94" s="29"/>
      <c r="H94" s="29"/>
    </row>
    <row r="96" spans="1:12" x14ac:dyDescent="0.15">
      <c r="A96" s="1113"/>
      <c r="B96" s="1113"/>
      <c r="C96" s="23"/>
      <c r="D96" s="705"/>
      <c r="E96" s="705"/>
      <c r="F96" s="705"/>
      <c r="G96" s="705"/>
      <c r="H96" s="705"/>
      <c r="I96" s="705"/>
      <c r="J96" s="705"/>
      <c r="K96" s="705"/>
      <c r="L96" s="705"/>
    </row>
    <row r="97" spans="1:12" x14ac:dyDescent="0.15">
      <c r="A97" s="1114"/>
      <c r="B97" s="1114"/>
      <c r="D97" s="681"/>
      <c r="E97" s="32"/>
      <c r="F97" s="706"/>
      <c r="G97" s="32"/>
      <c r="H97" s="681"/>
      <c r="I97" s="32"/>
      <c r="J97" s="681"/>
      <c r="K97" s="32"/>
      <c r="L97" s="681"/>
    </row>
    <row r="98" spans="1:12" x14ac:dyDescent="0.15">
      <c r="A98" s="1115"/>
      <c r="B98" s="1115"/>
      <c r="C98" s="32"/>
      <c r="D98" s="32"/>
      <c r="E98" s="32"/>
      <c r="F98" s="32"/>
      <c r="G98" s="32"/>
      <c r="H98" s="32"/>
      <c r="I98" s="32"/>
      <c r="J98" s="708"/>
      <c r="K98" s="32"/>
      <c r="L98" s="680"/>
    </row>
    <row r="101" spans="1:12" x14ac:dyDescent="0.15">
      <c r="A101" s="13"/>
      <c r="B101" s="705"/>
    </row>
    <row r="102" spans="1:12" x14ac:dyDescent="0.15">
      <c r="A102" s="1114"/>
      <c r="B102" s="1114"/>
      <c r="D102" s="681"/>
      <c r="F102" s="1116"/>
      <c r="G102" s="1116"/>
    </row>
    <row r="103" spans="1:12" x14ac:dyDescent="0.15">
      <c r="A103" s="1115"/>
      <c r="B103" s="1115"/>
      <c r="C103" s="32"/>
      <c r="D103" s="707"/>
      <c r="E103" s="32"/>
      <c r="F103" s="1117"/>
      <c r="G103" s="1117"/>
      <c r="K103" s="706"/>
    </row>
    <row r="104" spans="1:12" x14ac:dyDescent="0.15">
      <c r="K104" s="32"/>
    </row>
    <row r="106" spans="1:12" x14ac:dyDescent="0.15">
      <c r="B106" s="705"/>
      <c r="C106" s="13"/>
      <c r="D106" s="13"/>
      <c r="E106" s="13"/>
      <c r="F106" s="705"/>
      <c r="G106" s="13"/>
      <c r="H106" s="13"/>
      <c r="I106" s="705"/>
    </row>
    <row r="107" spans="1:12" x14ac:dyDescent="0.15">
      <c r="A107" s="1054"/>
      <c r="B107" s="1054"/>
      <c r="C107" s="32"/>
      <c r="D107" s="681"/>
      <c r="E107" s="32"/>
      <c r="F107" s="681"/>
      <c r="G107" s="32"/>
      <c r="H107" s="1109"/>
      <c r="I107" s="1109"/>
      <c r="K107" s="1110"/>
      <c r="L107" s="1110"/>
    </row>
    <row r="108" spans="1:12" x14ac:dyDescent="0.15">
      <c r="A108" s="1111"/>
      <c r="B108" s="1111"/>
      <c r="C108" s="32"/>
      <c r="D108" s="707"/>
      <c r="E108" s="32"/>
      <c r="F108" s="32"/>
      <c r="G108" s="32"/>
      <c r="H108" s="1112"/>
      <c r="I108" s="1112"/>
      <c r="K108" s="1111"/>
      <c r="L108" s="1111"/>
    </row>
    <row r="111" spans="1:12" x14ac:dyDescent="0.15">
      <c r="A111" s="13"/>
      <c r="B111" s="705"/>
      <c r="C111" s="13"/>
      <c r="D111" s="705"/>
      <c r="E111" s="13"/>
      <c r="F111" s="705"/>
      <c r="G111" s="13"/>
      <c r="H111" s="13"/>
      <c r="I111" s="705"/>
    </row>
    <row r="112" spans="1:12" x14ac:dyDescent="0.15">
      <c r="A112" s="1098"/>
      <c r="B112" s="1098"/>
      <c r="D112" s="681"/>
      <c r="F112" s="681"/>
      <c r="H112" s="1119"/>
      <c r="I112" s="1119"/>
    </row>
    <row r="113" spans="1:10" x14ac:dyDescent="0.15">
      <c r="A113" s="1111"/>
      <c r="B113" s="1111"/>
      <c r="C113" s="32"/>
      <c r="D113" s="32"/>
      <c r="E113" s="32"/>
      <c r="F113" s="32"/>
      <c r="G113" s="32"/>
      <c r="H113" s="1112"/>
      <c r="I113" s="1105"/>
    </row>
    <row r="116" spans="1:10" x14ac:dyDescent="0.15">
      <c r="A116" s="13"/>
      <c r="B116" s="705"/>
      <c r="C116" s="705"/>
      <c r="D116" s="705"/>
      <c r="E116" s="705"/>
      <c r="F116" s="705"/>
      <c r="G116" s="705"/>
      <c r="H116" s="13"/>
      <c r="I116" s="13"/>
    </row>
    <row r="117" spans="1:10" x14ac:dyDescent="0.15">
      <c r="A117" s="1122"/>
      <c r="B117" s="1122"/>
      <c r="D117" s="710"/>
      <c r="F117" s="1114"/>
      <c r="G117" s="1114"/>
    </row>
    <row r="118" spans="1:10" x14ac:dyDescent="0.15">
      <c r="A118" s="1115"/>
      <c r="B118" s="1105"/>
      <c r="C118" s="32"/>
      <c r="D118" s="707"/>
      <c r="E118" s="32"/>
      <c r="F118" s="1115"/>
      <c r="G118" s="1115"/>
    </row>
    <row r="119" spans="1:10" x14ac:dyDescent="0.15">
      <c r="A119" s="13"/>
    </row>
    <row r="120" spans="1:10" x14ac:dyDescent="0.15">
      <c r="A120" s="13"/>
    </row>
    <row r="124" spans="1:10" x14ac:dyDescent="0.15">
      <c r="A124" s="29"/>
      <c r="B124" s="25"/>
      <c r="C124" s="25"/>
      <c r="D124" s="25"/>
      <c r="E124" s="25"/>
      <c r="F124" s="25"/>
      <c r="G124" s="25"/>
      <c r="H124" s="25"/>
      <c r="I124" s="25"/>
      <c r="J124" s="25"/>
    </row>
    <row r="125" spans="1:10" x14ac:dyDescent="0.15">
      <c r="A125" s="1118"/>
      <c r="B125" s="1118"/>
      <c r="C125" s="711"/>
      <c r="D125" s="709"/>
      <c r="E125" s="711"/>
      <c r="F125" s="1119"/>
      <c r="G125" s="1119"/>
      <c r="H125" s="29"/>
      <c r="I125" s="1121"/>
      <c r="J125" s="1121"/>
    </row>
    <row r="126" spans="1:10" x14ac:dyDescent="0.15">
      <c r="A126" s="661"/>
      <c r="B126" s="661"/>
      <c r="F126" s="661"/>
      <c r="I126" s="389"/>
      <c r="J126" s="389"/>
    </row>
    <row r="127" spans="1:10" x14ac:dyDescent="0.15">
      <c r="A127" s="661"/>
      <c r="B127" s="661"/>
      <c r="I127" s="389"/>
      <c r="J127" s="389"/>
    </row>
    <row r="128" spans="1:10" x14ac:dyDescent="0.15">
      <c r="A128" s="29"/>
      <c r="B128" s="29"/>
      <c r="C128" s="29"/>
      <c r="E128" s="29"/>
      <c r="G128" s="29"/>
      <c r="H128" s="29"/>
      <c r="I128" s="29"/>
      <c r="J128" s="29"/>
    </row>
    <row r="130" spans="1:12" x14ac:dyDescent="0.15">
      <c r="E130" s="25"/>
      <c r="G130" s="25"/>
      <c r="I130" s="25"/>
      <c r="L130" s="25"/>
    </row>
    <row r="131" spans="1:12" x14ac:dyDescent="0.15">
      <c r="A131" s="712"/>
      <c r="C131" s="713"/>
      <c r="E131" s="713"/>
      <c r="G131" s="713"/>
      <c r="I131" s="713"/>
      <c r="K131" s="1054"/>
      <c r="L131" s="1054"/>
    </row>
    <row r="132" spans="1:12" x14ac:dyDescent="0.15">
      <c r="A132" s="1105"/>
      <c r="B132" s="1105"/>
      <c r="C132" s="1105"/>
      <c r="D132" s="1105"/>
      <c r="E132" s="1105"/>
      <c r="F132" s="1105"/>
      <c r="G132" s="1120"/>
      <c r="H132" s="1105"/>
      <c r="I132" s="1124"/>
      <c r="J132" s="1105"/>
      <c r="K132" s="1112"/>
      <c r="L132" s="1112"/>
    </row>
    <row r="133" spans="1:12" x14ac:dyDescent="0.15">
      <c r="A133" s="1105"/>
      <c r="B133" s="1105"/>
      <c r="C133" s="1105"/>
      <c r="D133" s="1105"/>
      <c r="E133" s="1105"/>
      <c r="F133" s="1105"/>
      <c r="G133" s="1105"/>
      <c r="H133" s="1105"/>
      <c r="I133" s="1105"/>
      <c r="J133" s="1105"/>
      <c r="K133" s="1112"/>
      <c r="L133" s="1112"/>
    </row>
    <row r="135" spans="1:12" x14ac:dyDescent="0.15">
      <c r="A135" s="29"/>
      <c r="B135" s="25"/>
      <c r="C135" s="25"/>
      <c r="D135" s="25"/>
      <c r="E135" s="25"/>
      <c r="F135" s="25"/>
      <c r="G135" s="25"/>
      <c r="H135" s="25"/>
      <c r="I135" s="25"/>
      <c r="J135" s="25"/>
    </row>
    <row r="136" spans="1:12" x14ac:dyDescent="0.15">
      <c r="A136" s="1118"/>
      <c r="B136" s="1118"/>
      <c r="C136" s="711"/>
      <c r="D136" s="709"/>
      <c r="E136" s="711"/>
      <c r="F136" s="1109"/>
      <c r="G136" s="1109"/>
      <c r="H136" s="29"/>
      <c r="I136" s="1125"/>
      <c r="J136" s="1125"/>
    </row>
    <row r="137" spans="1:12" x14ac:dyDescent="0.15">
      <c r="A137" s="1124"/>
      <c r="B137" s="1124"/>
      <c r="C137" s="1105"/>
      <c r="D137" s="1105"/>
      <c r="E137" s="1105"/>
      <c r="F137" s="1124"/>
      <c r="G137" s="1105"/>
      <c r="H137" s="1105"/>
      <c r="I137" s="1123"/>
      <c r="J137" s="1123"/>
    </row>
    <row r="138" spans="1:12" x14ac:dyDescent="0.15">
      <c r="A138" s="1124"/>
      <c r="B138" s="1124"/>
      <c r="C138" s="1105"/>
      <c r="D138" s="1105"/>
      <c r="E138" s="1105"/>
      <c r="F138" s="1105"/>
      <c r="G138" s="1105"/>
      <c r="H138" s="1105"/>
      <c r="I138" s="1123"/>
      <c r="J138" s="1123"/>
    </row>
  </sheetData>
  <mergeCells count="215">
    <mergeCell ref="S35:V42"/>
    <mergeCell ref="P33:Q42"/>
    <mergeCell ref="R33:R42"/>
    <mergeCell ref="P43:V44"/>
    <mergeCell ref="K46:L46"/>
    <mergeCell ref="K37:L37"/>
    <mergeCell ref="K44:L44"/>
    <mergeCell ref="K43:L43"/>
    <mergeCell ref="K41:L41"/>
    <mergeCell ref="K42:L42"/>
    <mergeCell ref="G5:H6"/>
    <mergeCell ref="C6:D6"/>
    <mergeCell ref="C5:F5"/>
    <mergeCell ref="A18:B18"/>
    <mergeCell ref="E18:F18"/>
    <mergeCell ref="E6:F6"/>
    <mergeCell ref="E9:F9"/>
    <mergeCell ref="C7:D7"/>
    <mergeCell ref="E7:F7"/>
    <mergeCell ref="A11:B11"/>
    <mergeCell ref="G8:H8"/>
    <mergeCell ref="A5:B6"/>
    <mergeCell ref="A7:B7"/>
    <mergeCell ref="G7:H7"/>
    <mergeCell ref="A36:B36"/>
    <mergeCell ref="A38:B38"/>
    <mergeCell ref="C8:D8"/>
    <mergeCell ref="E8:F8"/>
    <mergeCell ref="C12:D12"/>
    <mergeCell ref="E12:F12"/>
    <mergeCell ref="C11:D11"/>
    <mergeCell ref="E10:F10"/>
    <mergeCell ref="A12:B12"/>
    <mergeCell ref="A30:B30"/>
    <mergeCell ref="A9:B9"/>
    <mergeCell ref="C9:D9"/>
    <mergeCell ref="C10:D10"/>
    <mergeCell ref="A8:B8"/>
    <mergeCell ref="A10:B10"/>
    <mergeCell ref="E21:F21"/>
    <mergeCell ref="E11:F11"/>
    <mergeCell ref="E17:F17"/>
    <mergeCell ref="E19:F19"/>
    <mergeCell ref="E16:H16"/>
    <mergeCell ref="H25:H26"/>
    <mergeCell ref="E25:F26"/>
    <mergeCell ref="G31:H32"/>
    <mergeCell ref="G42:H42"/>
    <mergeCell ref="G25:G26"/>
    <mergeCell ref="E24:F24"/>
    <mergeCell ref="G30:H30"/>
    <mergeCell ref="I58:J58"/>
    <mergeCell ref="I35:J35"/>
    <mergeCell ref="G36:H36"/>
    <mergeCell ref="C37:D37"/>
    <mergeCell ref="E37:F37"/>
    <mergeCell ref="C38:D38"/>
    <mergeCell ref="I42:J42"/>
    <mergeCell ref="G44:H44"/>
    <mergeCell ref="I44:J44"/>
    <mergeCell ref="G43:H43"/>
    <mergeCell ref="I43:J43"/>
    <mergeCell ref="A57:B57"/>
    <mergeCell ref="C36:D36"/>
    <mergeCell ref="A20:B20"/>
    <mergeCell ref="A17:B17"/>
    <mergeCell ref="A19:B19"/>
    <mergeCell ref="K59:L59"/>
    <mergeCell ref="K58:L58"/>
    <mergeCell ref="K57:L57"/>
    <mergeCell ref="K56:L56"/>
    <mergeCell ref="K38:L38"/>
    <mergeCell ref="A22:B22"/>
    <mergeCell ref="A37:B37"/>
    <mergeCell ref="E22:F22"/>
    <mergeCell ref="A23:B23"/>
    <mergeCell ref="C25:C26"/>
    <mergeCell ref="A31:B32"/>
    <mergeCell ref="A59:B59"/>
    <mergeCell ref="G56:H56"/>
    <mergeCell ref="I37:J37"/>
    <mergeCell ref="G37:H37"/>
    <mergeCell ref="I38:J38"/>
    <mergeCell ref="G38:H38"/>
    <mergeCell ref="G41:H41"/>
    <mergeCell ref="I41:J41"/>
    <mergeCell ref="A132:A133"/>
    <mergeCell ref="C31:C32"/>
    <mergeCell ref="C59:D59"/>
    <mergeCell ref="D30:E30"/>
    <mergeCell ref="A117:B117"/>
    <mergeCell ref="A118:B118"/>
    <mergeCell ref="A56:B56"/>
    <mergeCell ref="C35:D35"/>
    <mergeCell ref="D33:E33"/>
    <mergeCell ref="D132:D133"/>
    <mergeCell ref="E56:F56"/>
    <mergeCell ref="A41:B41"/>
    <mergeCell ref="C41:D41"/>
    <mergeCell ref="E41:F41"/>
    <mergeCell ref="E35:F35"/>
    <mergeCell ref="E38:F38"/>
    <mergeCell ref="D31:E32"/>
    <mergeCell ref="A42:B42"/>
    <mergeCell ref="C42:D42"/>
    <mergeCell ref="A43:B43"/>
    <mergeCell ref="C43:D43"/>
    <mergeCell ref="E43:F43"/>
    <mergeCell ref="A125:B125"/>
    <mergeCell ref="A58:B58"/>
    <mergeCell ref="I125:J125"/>
    <mergeCell ref="I132:I133"/>
    <mergeCell ref="F125:G125"/>
    <mergeCell ref="F132:F133"/>
    <mergeCell ref="A102:B102"/>
    <mergeCell ref="A103:B103"/>
    <mergeCell ref="E20:F20"/>
    <mergeCell ref="F31:F32"/>
    <mergeCell ref="K132:L133"/>
    <mergeCell ref="K131:L131"/>
    <mergeCell ref="H132:H133"/>
    <mergeCell ref="J132:J133"/>
    <mergeCell ref="I56:J56"/>
    <mergeCell ref="A24:B24"/>
    <mergeCell ref="C56:D56"/>
    <mergeCell ref="A96:B96"/>
    <mergeCell ref="F117:G117"/>
    <mergeCell ref="E36:F36"/>
    <mergeCell ref="H112:I112"/>
    <mergeCell ref="I57:J57"/>
    <mergeCell ref="C58:D58"/>
    <mergeCell ref="I59:J59"/>
    <mergeCell ref="A108:B108"/>
    <mergeCell ref="A97:B97"/>
    <mergeCell ref="A136:B136"/>
    <mergeCell ref="F136:G136"/>
    <mergeCell ref="I137:J138"/>
    <mergeCell ref="E57:F57"/>
    <mergeCell ref="E58:F58"/>
    <mergeCell ref="H137:H138"/>
    <mergeCell ref="I136:J136"/>
    <mergeCell ref="E132:E133"/>
    <mergeCell ref="G59:H59"/>
    <mergeCell ref="H113:I113"/>
    <mergeCell ref="E59:F59"/>
    <mergeCell ref="G57:H57"/>
    <mergeCell ref="A137:B138"/>
    <mergeCell ref="C137:C138"/>
    <mergeCell ref="D137:D138"/>
    <mergeCell ref="G132:G133"/>
    <mergeCell ref="B132:B133"/>
    <mergeCell ref="C132:C133"/>
    <mergeCell ref="A113:B113"/>
    <mergeCell ref="F118:G118"/>
    <mergeCell ref="C57:D57"/>
    <mergeCell ref="E137:E138"/>
    <mergeCell ref="F137:G138"/>
    <mergeCell ref="A112:B112"/>
    <mergeCell ref="F103:G103"/>
    <mergeCell ref="G58:H58"/>
    <mergeCell ref="A98:B98"/>
    <mergeCell ref="K108:L108"/>
    <mergeCell ref="A107:B107"/>
    <mergeCell ref="H108:I108"/>
    <mergeCell ref="K107:L107"/>
    <mergeCell ref="H107:I107"/>
    <mergeCell ref="F102:G102"/>
    <mergeCell ref="AE33:AF33"/>
    <mergeCell ref="K1:L1"/>
    <mergeCell ref="Q2:R2"/>
    <mergeCell ref="O2:P2"/>
    <mergeCell ref="M2:N2"/>
    <mergeCell ref="K2:L2"/>
    <mergeCell ref="E23:F23"/>
    <mergeCell ref="AK54:AL54"/>
    <mergeCell ref="AD51:AE51"/>
    <mergeCell ref="AE36:AF36"/>
    <mergeCell ref="AD34:AE34"/>
    <mergeCell ref="AH39:AI39"/>
    <mergeCell ref="AE40:AF40"/>
    <mergeCell ref="O1:P1"/>
    <mergeCell ref="K36:L36"/>
    <mergeCell ref="K35:L35"/>
    <mergeCell ref="S2:T2"/>
    <mergeCell ref="S1:T1"/>
    <mergeCell ref="V1:X1"/>
    <mergeCell ref="J31:K32"/>
    <mergeCell ref="Q1:R1"/>
    <mergeCell ref="M1:N1"/>
    <mergeCell ref="J30:K30"/>
    <mergeCell ref="E42:F42"/>
    <mergeCell ref="K48:L48"/>
    <mergeCell ref="C47:D47"/>
    <mergeCell ref="E47:F47"/>
    <mergeCell ref="G47:H47"/>
    <mergeCell ref="I47:J47"/>
    <mergeCell ref="K47:L47"/>
    <mergeCell ref="A47:B47"/>
    <mergeCell ref="A1:J2"/>
    <mergeCell ref="A48:B48"/>
    <mergeCell ref="C48:D48"/>
    <mergeCell ref="E48:F48"/>
    <mergeCell ref="G48:H48"/>
    <mergeCell ref="I48:J48"/>
    <mergeCell ref="A44:B44"/>
    <mergeCell ref="C44:D44"/>
    <mergeCell ref="E44:F44"/>
    <mergeCell ref="A16:D16"/>
    <mergeCell ref="D25:D26"/>
    <mergeCell ref="A25:B26"/>
    <mergeCell ref="A35:B35"/>
    <mergeCell ref="A21:B21"/>
    <mergeCell ref="G35:H35"/>
    <mergeCell ref="I36:J36"/>
    <mergeCell ref="I31:I32"/>
  </mergeCells>
  <phoneticPr fontId="2"/>
  <pageMargins left="0.25" right="0.25" top="0.75" bottom="0.75" header="0.3" footer="0.3"/>
  <pageSetup paperSize="8"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1:S58"/>
  <sheetViews>
    <sheetView workbookViewId="0"/>
  </sheetViews>
  <sheetFormatPr defaultColWidth="9" defaultRowHeight="10.5" x14ac:dyDescent="0.15"/>
  <cols>
    <col min="1" max="1" width="3.125" style="1" customWidth="1"/>
    <col min="2" max="2" width="20.5" style="1" customWidth="1"/>
    <col min="3" max="3" width="9.875" style="1" bestFit="1" customWidth="1"/>
    <col min="4" max="4" width="10.125" style="1" bestFit="1" customWidth="1"/>
    <col min="5" max="5" width="9.75" style="1" bestFit="1" customWidth="1"/>
    <col min="6" max="6" width="39" style="1" customWidth="1"/>
    <col min="7" max="7" width="9.125" style="1" customWidth="1"/>
    <col min="8" max="8" width="9.75" style="1" bestFit="1" customWidth="1"/>
    <col min="9" max="9" width="9" style="1" bestFit="1" customWidth="1"/>
    <col min="10" max="10" width="7.25" style="1" customWidth="1"/>
    <col min="11" max="11" width="5.125" style="1" customWidth="1"/>
    <col min="12" max="12" width="8.75" style="1" customWidth="1"/>
    <col min="13" max="13" width="27" style="1" customWidth="1"/>
    <col min="14" max="14" width="9.125" style="1" customWidth="1"/>
    <col min="15" max="15" width="9.25" style="1" customWidth="1"/>
    <col min="16" max="16" width="9.125" style="1" bestFit="1" customWidth="1"/>
    <col min="17" max="17" width="9.75" style="1" bestFit="1" customWidth="1"/>
    <col min="18" max="19" width="9.125" style="1" bestFit="1" customWidth="1"/>
    <col min="20" max="16384" width="9" style="1"/>
  </cols>
  <sheetData>
    <row r="1" spans="1:19" ht="17.25" customHeight="1" x14ac:dyDescent="0.15">
      <c r="A1" s="387" t="s">
        <v>430</v>
      </c>
      <c r="B1" s="406"/>
      <c r="C1" s="406"/>
      <c r="D1" s="406"/>
      <c r="E1" s="406"/>
      <c r="F1" s="406"/>
      <c r="G1" s="406"/>
      <c r="H1" s="406"/>
      <c r="I1" s="406"/>
      <c r="J1" s="406"/>
      <c r="K1" s="406"/>
      <c r="L1" s="406"/>
      <c r="M1" s="953">
        <f ca="1">TODAY()</f>
        <v>45398</v>
      </c>
      <c r="N1" s="953"/>
      <c r="O1" s="953"/>
    </row>
    <row r="2" spans="1:19" ht="3.75" customHeight="1" x14ac:dyDescent="0.15"/>
    <row r="3" spans="1:19" ht="14.25" customHeight="1" x14ac:dyDescent="0.15">
      <c r="A3" s="480"/>
      <c r="B3" s="1164" t="s">
        <v>155</v>
      </c>
      <c r="C3" s="1165"/>
      <c r="D3" s="1165"/>
      <c r="E3" s="1165"/>
      <c r="F3" s="1165"/>
      <c r="G3" s="1165"/>
      <c r="H3" s="1166"/>
      <c r="I3" s="1165" t="s">
        <v>156</v>
      </c>
      <c r="J3" s="1165"/>
      <c r="K3" s="1165"/>
      <c r="L3" s="1165"/>
      <c r="M3" s="1165"/>
      <c r="N3" s="1165"/>
      <c r="O3" s="1167"/>
      <c r="P3" s="1132" t="s">
        <v>157</v>
      </c>
      <c r="Q3" s="1168"/>
      <c r="R3" s="1168" t="s">
        <v>62</v>
      </c>
      <c r="S3" s="1168"/>
    </row>
    <row r="4" spans="1:19" ht="15" customHeight="1" thickBot="1" x14ac:dyDescent="0.2">
      <c r="A4" s="481"/>
      <c r="B4" s="134" t="s">
        <v>65</v>
      </c>
      <c r="C4" s="134" t="s">
        <v>4</v>
      </c>
      <c r="D4" s="134" t="s">
        <v>5</v>
      </c>
      <c r="E4" s="134" t="s">
        <v>6</v>
      </c>
      <c r="F4" s="135" t="s">
        <v>158</v>
      </c>
      <c r="G4" s="134" t="s">
        <v>48</v>
      </c>
      <c r="H4" s="135" t="s">
        <v>51</v>
      </c>
      <c r="I4" s="136" t="s">
        <v>159</v>
      </c>
      <c r="J4" s="134" t="s">
        <v>39</v>
      </c>
      <c r="K4" s="559" t="s">
        <v>352</v>
      </c>
      <c r="L4" s="134" t="s">
        <v>40</v>
      </c>
      <c r="M4" s="135" t="s">
        <v>158</v>
      </c>
      <c r="N4" s="134" t="s">
        <v>48</v>
      </c>
      <c r="O4" s="134" t="s">
        <v>51</v>
      </c>
      <c r="P4" s="2" t="s">
        <v>48</v>
      </c>
      <c r="Q4" s="2" t="s">
        <v>51</v>
      </c>
      <c r="R4" s="2" t="s">
        <v>48</v>
      </c>
      <c r="S4" s="2" t="s">
        <v>51</v>
      </c>
    </row>
    <row r="5" spans="1:19" ht="15" customHeight="1" thickTop="1" x14ac:dyDescent="0.15">
      <c r="A5" s="904" t="s">
        <v>0</v>
      </c>
      <c r="B5" s="137" t="s">
        <v>3</v>
      </c>
      <c r="C5" s="138"/>
      <c r="D5" s="718"/>
      <c r="E5" s="719">
        <f>20+84</f>
        <v>104</v>
      </c>
      <c r="F5" s="140" t="s">
        <v>380</v>
      </c>
      <c r="G5" s="141" t="e">
        <f>E5*$P$6</f>
        <v>#REF!</v>
      </c>
      <c r="H5" s="142" t="e">
        <f>E5*$Q$6</f>
        <v>#REF!</v>
      </c>
      <c r="I5" s="143">
        <f t="shared" ref="I5:I10" si="0">E5</f>
        <v>104</v>
      </c>
      <c r="J5" s="144">
        <v>0.66666666666666663</v>
      </c>
      <c r="K5" s="145" t="e">
        <f>#REF!</f>
        <v>#REF!</v>
      </c>
      <c r="L5" s="139" t="e">
        <f t="shared" ref="L5:L10" si="1">I5*J5*K5</f>
        <v>#REF!</v>
      </c>
      <c r="M5" s="140"/>
      <c r="N5" s="141" t="e">
        <f>L5*$P$6</f>
        <v>#REF!</v>
      </c>
      <c r="O5" s="141" t="e">
        <f>L5*$Q$6</f>
        <v>#REF!</v>
      </c>
      <c r="P5" s="12" t="e">
        <f>SUM(G19,G30,G43)</f>
        <v>#REF!</v>
      </c>
      <c r="Q5" s="12" t="e">
        <f>SUM(H6:H9,H19,H30,H43)</f>
        <v>#REF!</v>
      </c>
      <c r="R5" s="12" t="e">
        <f>SUM(N19,N30,N43)</f>
        <v>#REF!</v>
      </c>
      <c r="S5" s="12" t="e">
        <f>SUM(O6:O8,O19,O30,O43)</f>
        <v>#REF!</v>
      </c>
    </row>
    <row r="6" spans="1:19" ht="15" customHeight="1" x14ac:dyDescent="0.15">
      <c r="A6" s="905"/>
      <c r="B6" s="146" t="s">
        <v>7</v>
      </c>
      <c r="C6" s="147"/>
      <c r="D6" s="720"/>
      <c r="E6" s="721" t="e">
        <f>#REF!/1000</f>
        <v>#REF!</v>
      </c>
      <c r="F6" s="148" t="s">
        <v>350</v>
      </c>
      <c r="G6" s="149"/>
      <c r="H6" s="150" t="e">
        <f>E6</f>
        <v>#REF!</v>
      </c>
      <c r="I6" s="151" t="e">
        <f t="shared" si="0"/>
        <v>#REF!</v>
      </c>
      <c r="J6" s="152">
        <f>$J$5</f>
        <v>0.66666666666666663</v>
      </c>
      <c r="K6" s="153" t="e">
        <f>#REF!</f>
        <v>#REF!</v>
      </c>
      <c r="L6" s="147" t="e">
        <f t="shared" si="1"/>
        <v>#REF!</v>
      </c>
      <c r="M6" s="148"/>
      <c r="N6" s="149"/>
      <c r="O6" s="149" t="e">
        <f>L6</f>
        <v>#REF!</v>
      </c>
      <c r="P6" s="154" t="e">
        <f>P5/(P5+Q5)</f>
        <v>#REF!</v>
      </c>
      <c r="Q6" s="154" t="e">
        <f>1-P6</f>
        <v>#REF!</v>
      </c>
      <c r="R6" s="154" t="e">
        <f>R5/(R5+S5)</f>
        <v>#REF!</v>
      </c>
      <c r="S6" s="154" t="e">
        <f>1-R6</f>
        <v>#REF!</v>
      </c>
    </row>
    <row r="7" spans="1:19" ht="15" customHeight="1" x14ac:dyDescent="0.15">
      <c r="A7" s="905"/>
      <c r="B7" s="146" t="s">
        <v>8</v>
      </c>
      <c r="C7" s="155">
        <v>4</v>
      </c>
      <c r="D7" s="722">
        <v>1500</v>
      </c>
      <c r="E7" s="721">
        <f>C7*D7/1000</f>
        <v>6</v>
      </c>
      <c r="F7" s="148" t="s">
        <v>113</v>
      </c>
      <c r="G7" s="149"/>
      <c r="H7" s="150">
        <f>E7</f>
        <v>6</v>
      </c>
      <c r="I7" s="151">
        <f t="shared" si="0"/>
        <v>6</v>
      </c>
      <c r="J7" s="152">
        <f>$J$5</f>
        <v>0.66666666666666663</v>
      </c>
      <c r="K7" s="153" t="e">
        <f>#REF!</f>
        <v>#REF!</v>
      </c>
      <c r="L7" s="147" t="e">
        <f t="shared" si="1"/>
        <v>#REF!</v>
      </c>
      <c r="M7" s="148"/>
      <c r="N7" s="149"/>
      <c r="O7" s="149" t="e">
        <f>L7</f>
        <v>#REF!</v>
      </c>
    </row>
    <row r="8" spans="1:19" ht="15" customHeight="1" x14ac:dyDescent="0.15">
      <c r="A8" s="905"/>
      <c r="B8" s="146" t="s">
        <v>9</v>
      </c>
      <c r="C8" s="147"/>
      <c r="D8" s="720"/>
      <c r="E8" s="721" t="e">
        <f>#REF!/1000</f>
        <v>#REF!</v>
      </c>
      <c r="F8" s="148" t="s">
        <v>350</v>
      </c>
      <c r="G8" s="149"/>
      <c r="H8" s="150" t="e">
        <f>E8</f>
        <v>#REF!</v>
      </c>
      <c r="I8" s="151" t="e">
        <f t="shared" si="0"/>
        <v>#REF!</v>
      </c>
      <c r="J8" s="152">
        <f>$J$5</f>
        <v>0.66666666666666663</v>
      </c>
      <c r="K8" s="153" t="e">
        <f>#REF!</f>
        <v>#REF!</v>
      </c>
      <c r="L8" s="147" t="e">
        <f t="shared" si="1"/>
        <v>#REF!</v>
      </c>
      <c r="M8" s="148"/>
      <c r="N8" s="149"/>
      <c r="O8" s="149" t="e">
        <f>L8</f>
        <v>#REF!</v>
      </c>
    </row>
    <row r="9" spans="1:19" ht="15" customHeight="1" x14ac:dyDescent="0.15">
      <c r="A9" s="905"/>
      <c r="B9" s="146" t="s">
        <v>330</v>
      </c>
      <c r="C9" s="147"/>
      <c r="D9" s="720"/>
      <c r="E9" s="721" t="e">
        <f>'監理料(告示98号）'!T85/1000</f>
        <v>#REF!</v>
      </c>
      <c r="F9" s="148" t="s">
        <v>350</v>
      </c>
      <c r="G9" s="149"/>
      <c r="H9" s="150" t="e">
        <f>E9</f>
        <v>#REF!</v>
      </c>
      <c r="I9" s="151" t="e">
        <f t="shared" si="0"/>
        <v>#REF!</v>
      </c>
      <c r="J9" s="152">
        <f>$J$5</f>
        <v>0.66666666666666663</v>
      </c>
      <c r="K9" s="153" t="e">
        <f>#REF!</f>
        <v>#REF!</v>
      </c>
      <c r="L9" s="147" t="e">
        <f t="shared" si="1"/>
        <v>#REF!</v>
      </c>
      <c r="M9" s="148"/>
      <c r="N9" s="149"/>
      <c r="O9" s="149" t="e">
        <f>L9</f>
        <v>#REF!</v>
      </c>
    </row>
    <row r="10" spans="1:19" ht="15" customHeight="1" x14ac:dyDescent="0.15">
      <c r="A10" s="905"/>
      <c r="B10" s="146" t="s">
        <v>10</v>
      </c>
      <c r="C10" s="156" t="e">
        <f>#REF!</f>
        <v>#REF!</v>
      </c>
      <c r="D10" s="157">
        <v>25</v>
      </c>
      <c r="E10" s="721" t="e">
        <f>C10*D10/1000</f>
        <v>#REF!</v>
      </c>
      <c r="F10" s="148" t="s">
        <v>115</v>
      </c>
      <c r="G10" s="149" t="e">
        <f>E10*$P$6</f>
        <v>#REF!</v>
      </c>
      <c r="H10" s="150" t="e">
        <f>E10*$Q$6</f>
        <v>#REF!</v>
      </c>
      <c r="I10" s="151" t="e">
        <f t="shared" si="0"/>
        <v>#REF!</v>
      </c>
      <c r="J10" s="152">
        <f>$J$5</f>
        <v>0.66666666666666663</v>
      </c>
      <c r="K10" s="153" t="e">
        <f>#REF!</f>
        <v>#REF!</v>
      </c>
      <c r="L10" s="147" t="e">
        <f t="shared" si="1"/>
        <v>#REF!</v>
      </c>
      <c r="M10" s="148"/>
      <c r="N10" s="149" t="e">
        <f>L10*$P$6</f>
        <v>#REF!</v>
      </c>
      <c r="O10" s="149" t="e">
        <f>L10*$Q$6</f>
        <v>#REF!</v>
      </c>
    </row>
    <row r="11" spans="1:19" ht="15" customHeight="1" x14ac:dyDescent="0.15">
      <c r="A11" s="905"/>
      <c r="B11" s="146" t="s">
        <v>11</v>
      </c>
      <c r="C11" s="156" t="e">
        <f>#REF!</f>
        <v>#REF!</v>
      </c>
      <c r="D11" s="157">
        <v>5</v>
      </c>
      <c r="E11" s="147" t="e">
        <f>C11*D11/1000</f>
        <v>#REF!</v>
      </c>
      <c r="F11" s="148" t="s">
        <v>115</v>
      </c>
      <c r="G11" s="149" t="e">
        <f>E11*$P$6</f>
        <v>#REF!</v>
      </c>
      <c r="H11" s="150" t="e">
        <f>E11*$Q$6</f>
        <v>#REF!</v>
      </c>
      <c r="I11" s="151">
        <v>0</v>
      </c>
      <c r="J11" s="152"/>
      <c r="K11" s="153"/>
      <c r="L11" s="147"/>
      <c r="M11" s="148"/>
      <c r="N11" s="149"/>
      <c r="O11" s="149"/>
    </row>
    <row r="12" spans="1:19" ht="15" customHeight="1" x14ac:dyDescent="0.15">
      <c r="A12" s="905"/>
      <c r="B12" s="158" t="s">
        <v>127</v>
      </c>
      <c r="C12" s="159" t="e">
        <f>SUM(E5:E11)</f>
        <v>#REF!</v>
      </c>
      <c r="D12" s="160">
        <v>0.1</v>
      </c>
      <c r="E12" s="159" t="e">
        <f>C12*D12</f>
        <v>#REF!</v>
      </c>
      <c r="F12" s="161"/>
      <c r="G12" s="162" t="e">
        <f>SUM(G5:G11)*$D$12</f>
        <v>#REF!</v>
      </c>
      <c r="H12" s="163" t="e">
        <f>SUM(H5:H11)*$D$12</f>
        <v>#REF!</v>
      </c>
      <c r="I12" s="151">
        <v>0</v>
      </c>
      <c r="J12" s="165"/>
      <c r="K12" s="166"/>
      <c r="L12" s="159"/>
      <c r="M12" s="161"/>
      <c r="N12" s="162"/>
      <c r="O12" s="162"/>
    </row>
    <row r="13" spans="1:19" ht="15" customHeight="1" x14ac:dyDescent="0.15">
      <c r="A13" s="906"/>
      <c r="B13" s="9" t="s">
        <v>12</v>
      </c>
      <c r="C13" s="10"/>
      <c r="D13" s="9"/>
      <c r="E13" s="11" t="e">
        <f>SUM(E5:E12)</f>
        <v>#REF!</v>
      </c>
      <c r="F13" s="167"/>
      <c r="G13" s="168" t="e">
        <f>SUM(G5:G12)</f>
        <v>#REF!</v>
      </c>
      <c r="H13" s="169" t="e">
        <f>SUM(H5:H12)</f>
        <v>#REF!</v>
      </c>
      <c r="I13" s="170" t="e">
        <f>SUM(I5:I12)</f>
        <v>#REF!</v>
      </c>
      <c r="J13" s="171"/>
      <c r="K13" s="172"/>
      <c r="L13" s="11" t="e">
        <f>SUM(L5:L12)</f>
        <v>#REF!</v>
      </c>
      <c r="M13" s="167"/>
      <c r="N13" s="168" t="e">
        <f>SUM(N5:N12)</f>
        <v>#REF!</v>
      </c>
      <c r="O13" s="168" t="e">
        <f>SUM(O5:O12)</f>
        <v>#REF!</v>
      </c>
    </row>
    <row r="14" spans="1:19" ht="15" customHeight="1" x14ac:dyDescent="0.15">
      <c r="A14" s="904" t="s">
        <v>1</v>
      </c>
      <c r="B14" s="173" t="s">
        <v>160</v>
      </c>
      <c r="C14" s="174" t="e">
        <f>#REF!</f>
        <v>#REF!</v>
      </c>
      <c r="D14" s="175">
        <v>15</v>
      </c>
      <c r="E14" s="4" t="e">
        <f>C14*D14/1000</f>
        <v>#REF!</v>
      </c>
      <c r="F14" s="177" t="s">
        <v>177</v>
      </c>
      <c r="G14" s="193" t="e">
        <f>E14</f>
        <v>#REF!</v>
      </c>
      <c r="H14" s="179"/>
      <c r="I14" s="180" t="e">
        <f>E14</f>
        <v>#REF!</v>
      </c>
      <c r="J14" s="470" t="e">
        <f>#REF!</f>
        <v>#REF!</v>
      </c>
      <c r="K14" s="181" t="e">
        <f>#REF!</f>
        <v>#REF!</v>
      </c>
      <c r="L14" s="176" t="e">
        <f>I14*J14*K14</f>
        <v>#REF!</v>
      </c>
      <c r="M14" s="177"/>
      <c r="N14" s="178" t="e">
        <f>L14</f>
        <v>#REF!</v>
      </c>
      <c r="O14" s="178"/>
    </row>
    <row r="15" spans="1:19" ht="15" customHeight="1" x14ac:dyDescent="0.15">
      <c r="A15" s="905"/>
      <c r="B15" s="146" t="s">
        <v>165</v>
      </c>
      <c r="C15" s="156" t="e">
        <f>#REF!</f>
        <v>#REF!</v>
      </c>
      <c r="D15" s="182">
        <v>15</v>
      </c>
      <c r="E15" s="147" t="e">
        <f>C15*D15/1000</f>
        <v>#REF!</v>
      </c>
      <c r="F15" s="148" t="s">
        <v>178</v>
      </c>
      <c r="G15" s="219" t="e">
        <f>E15</f>
        <v>#REF!</v>
      </c>
      <c r="H15" s="150"/>
      <c r="I15" s="151" t="e">
        <f>E15</f>
        <v>#REF!</v>
      </c>
      <c r="J15" s="471" t="e">
        <f>#REF!</f>
        <v>#REF!</v>
      </c>
      <c r="K15" s="153" t="e">
        <f>#REF!</f>
        <v>#REF!</v>
      </c>
      <c r="L15" s="147" t="e">
        <f>I15*J15*K15</f>
        <v>#REF!</v>
      </c>
      <c r="M15" s="148"/>
      <c r="N15" s="149" t="e">
        <f>L15</f>
        <v>#REF!</v>
      </c>
      <c r="O15" s="149"/>
    </row>
    <row r="16" spans="1:19" ht="15" customHeight="1" x14ac:dyDescent="0.15">
      <c r="A16" s="905"/>
      <c r="B16" s="146" t="s">
        <v>166</v>
      </c>
      <c r="C16" s="156" t="e">
        <f>#REF!</f>
        <v>#REF!</v>
      </c>
      <c r="D16" s="182">
        <v>45</v>
      </c>
      <c r="E16" s="147" t="e">
        <f>C16*D16/1000</f>
        <v>#REF!</v>
      </c>
      <c r="F16" s="148" t="s">
        <v>179</v>
      </c>
      <c r="G16" s="149" t="e">
        <f>E16</f>
        <v>#REF!</v>
      </c>
      <c r="H16" s="150"/>
      <c r="I16" s="143" t="e">
        <f>E16</f>
        <v>#REF!</v>
      </c>
      <c r="J16" s="471" t="e">
        <f>#REF!</f>
        <v>#REF!</v>
      </c>
      <c r="K16" s="145" t="e">
        <f>#REF!</f>
        <v>#REF!</v>
      </c>
      <c r="L16" s="139" t="e">
        <f>I16*J16*K16</f>
        <v>#REF!</v>
      </c>
      <c r="M16" s="148"/>
      <c r="N16" s="141" t="e">
        <f>L16</f>
        <v>#REF!</v>
      </c>
      <c r="O16" s="141"/>
    </row>
    <row r="17" spans="1:15" ht="15" customHeight="1" x14ac:dyDescent="0.15">
      <c r="A17" s="905"/>
      <c r="B17" s="146" t="s">
        <v>13</v>
      </c>
      <c r="C17" s="156" t="e">
        <f>#REF!</f>
        <v>#REF!</v>
      </c>
      <c r="D17" s="182">
        <v>1</v>
      </c>
      <c r="E17" s="147" t="e">
        <f>C17*D17/1000</f>
        <v>#REF!</v>
      </c>
      <c r="F17" s="148" t="s">
        <v>16</v>
      </c>
      <c r="G17" s="149" t="e">
        <f>E17</f>
        <v>#REF!</v>
      </c>
      <c r="H17" s="150"/>
      <c r="I17" s="151" t="e">
        <f>E17</f>
        <v>#REF!</v>
      </c>
      <c r="J17" s="471" t="e">
        <f>#REF!</f>
        <v>#REF!</v>
      </c>
      <c r="K17" s="153" t="e">
        <f>#REF!</f>
        <v>#REF!</v>
      </c>
      <c r="L17" s="147" t="e">
        <f>I17*J17*K17</f>
        <v>#REF!</v>
      </c>
      <c r="M17" s="148"/>
      <c r="N17" s="149" t="e">
        <f>L17</f>
        <v>#REF!</v>
      </c>
      <c r="O17" s="149"/>
    </row>
    <row r="18" spans="1:15" ht="15" customHeight="1" x14ac:dyDescent="0.15">
      <c r="A18" s="905"/>
      <c r="B18" s="158" t="s">
        <v>287</v>
      </c>
      <c r="C18" s="159" t="e">
        <f>SUM(E14:E17)</f>
        <v>#REF!</v>
      </c>
      <c r="D18" s="160">
        <v>0.1</v>
      </c>
      <c r="E18" s="159" t="e">
        <f>C18*D18</f>
        <v>#REF!</v>
      </c>
      <c r="F18" s="161"/>
      <c r="G18" s="162" t="e">
        <f>E18</f>
        <v>#REF!</v>
      </c>
      <c r="H18" s="163"/>
      <c r="I18" s="164">
        <v>0</v>
      </c>
      <c r="J18" s="472"/>
      <c r="K18" s="166"/>
      <c r="L18" s="159"/>
      <c r="M18" s="161"/>
      <c r="N18" s="162"/>
      <c r="O18" s="162"/>
    </row>
    <row r="19" spans="1:15" ht="15" customHeight="1" x14ac:dyDescent="0.15">
      <c r="A19" s="906"/>
      <c r="B19" s="9" t="s">
        <v>14</v>
      </c>
      <c r="C19" s="10"/>
      <c r="D19" s="9"/>
      <c r="E19" s="11" t="e">
        <f>SUM(E14:E18)</f>
        <v>#REF!</v>
      </c>
      <c r="F19" s="167"/>
      <c r="G19" s="168" t="e">
        <f>SUM(G14:G18)</f>
        <v>#REF!</v>
      </c>
      <c r="H19" s="169">
        <f>SUM(H14:H18)</f>
        <v>0</v>
      </c>
      <c r="I19" s="170" t="e">
        <f>SUM(I14:I18)</f>
        <v>#REF!</v>
      </c>
      <c r="J19" s="473"/>
      <c r="K19" s="172"/>
      <c r="L19" s="11" t="e">
        <f>SUM(L14:L18)</f>
        <v>#REF!</v>
      </c>
      <c r="M19" s="167"/>
      <c r="N19" s="168" t="e">
        <f>SUM(N14:N18)</f>
        <v>#REF!</v>
      </c>
      <c r="O19" s="168">
        <f>SUM(O14:O18)</f>
        <v>0</v>
      </c>
    </row>
    <row r="20" spans="1:15" ht="15" customHeight="1" x14ac:dyDescent="0.15">
      <c r="A20" s="904" t="s">
        <v>2</v>
      </c>
      <c r="B20" s="173" t="s">
        <v>17</v>
      </c>
      <c r="C20" s="176"/>
      <c r="D20" s="183"/>
      <c r="E20" s="176" t="e">
        <f>#REF!</f>
        <v>#REF!</v>
      </c>
      <c r="F20" s="173" t="s">
        <v>288</v>
      </c>
      <c r="G20" s="178" t="e">
        <f>E20</f>
        <v>#REF!</v>
      </c>
      <c r="H20" s="179"/>
      <c r="I20" s="180">
        <v>0</v>
      </c>
      <c r="J20" s="471"/>
      <c r="K20" s="153"/>
      <c r="L20" s="147"/>
      <c r="M20" s="177" t="s">
        <v>176</v>
      </c>
      <c r="N20" s="149">
        <f>L20</f>
        <v>0</v>
      </c>
      <c r="O20" s="178"/>
    </row>
    <row r="21" spans="1:15" ht="15" customHeight="1" x14ac:dyDescent="0.15">
      <c r="A21" s="905"/>
      <c r="B21" s="146" t="s">
        <v>18</v>
      </c>
      <c r="C21" s="147" t="e">
        <f>E20</f>
        <v>#REF!</v>
      </c>
      <c r="D21" s="476" t="s">
        <v>114</v>
      </c>
      <c r="E21" s="147" t="e">
        <f>C21*6/12*0.06</f>
        <v>#REF!</v>
      </c>
      <c r="F21" s="137" t="s">
        <v>167</v>
      </c>
      <c r="G21" s="149" t="e">
        <f>E21</f>
        <v>#REF!</v>
      </c>
      <c r="H21" s="150"/>
      <c r="I21" s="151">
        <v>0</v>
      </c>
      <c r="J21" s="471"/>
      <c r="K21" s="153"/>
      <c r="L21" s="147"/>
      <c r="M21" s="148" t="s">
        <v>176</v>
      </c>
      <c r="N21" s="149">
        <f>L21</f>
        <v>0</v>
      </c>
      <c r="O21" s="149"/>
    </row>
    <row r="22" spans="1:15" ht="15" customHeight="1" x14ac:dyDescent="0.15">
      <c r="A22" s="905"/>
      <c r="B22" s="137" t="s">
        <v>175</v>
      </c>
      <c r="C22" s="147" t="e">
        <f>#REF!</f>
        <v>#REF!</v>
      </c>
      <c r="D22" s="247" t="s">
        <v>140</v>
      </c>
      <c r="E22" s="147">
        <v>0</v>
      </c>
      <c r="F22" s="477" t="s">
        <v>351</v>
      </c>
      <c r="G22" s="149">
        <f>E22</f>
        <v>0</v>
      </c>
      <c r="H22" s="150"/>
      <c r="I22" s="151" t="e">
        <f>C22</f>
        <v>#REF!</v>
      </c>
      <c r="J22" s="471" t="e">
        <f>#REF!</f>
        <v>#REF!</v>
      </c>
      <c r="K22" s="153" t="e">
        <f>#REF!</f>
        <v>#REF!</v>
      </c>
      <c r="L22" s="147" t="e">
        <f>I22*J22*K22</f>
        <v>#REF!</v>
      </c>
      <c r="M22" s="148"/>
      <c r="N22" s="725" t="e">
        <f>L22-O22</f>
        <v>#REF!</v>
      </c>
      <c r="O22" s="725">
        <v>333</v>
      </c>
    </row>
    <row r="23" spans="1:15" ht="15" customHeight="1" x14ac:dyDescent="0.15">
      <c r="A23" s="905"/>
      <c r="B23" s="137" t="s">
        <v>174</v>
      </c>
      <c r="C23" s="248" t="e">
        <f>#REF!</f>
        <v>#REF!</v>
      </c>
      <c r="D23" s="245" t="s">
        <v>140</v>
      </c>
      <c r="E23" s="147" t="e">
        <f>#REF!</f>
        <v>#REF!</v>
      </c>
      <c r="F23" s="137" t="s">
        <v>432</v>
      </c>
      <c r="G23" s="149" t="e">
        <f t="shared" ref="G23:G28" si="2">E23</f>
        <v>#REF!</v>
      </c>
      <c r="H23" s="150"/>
      <c r="I23" s="151" t="e">
        <f t="shared" ref="I23:I28" si="3">E23</f>
        <v>#REF!</v>
      </c>
      <c r="J23" s="471" t="e">
        <f>#REF!</f>
        <v>#REF!</v>
      </c>
      <c r="K23" s="153" t="e">
        <f>#REF!</f>
        <v>#REF!</v>
      </c>
      <c r="L23" s="147" t="e">
        <f t="shared" ref="L23:L28" si="4">I23*J23*K23</f>
        <v>#REF!</v>
      </c>
      <c r="M23" s="148"/>
      <c r="N23" s="149" t="e">
        <f t="shared" ref="N23:N28" si="5">L23</f>
        <v>#REF!</v>
      </c>
      <c r="O23" s="149"/>
    </row>
    <row r="24" spans="1:15" ht="15" customHeight="1" x14ac:dyDescent="0.15">
      <c r="A24" s="905"/>
      <c r="B24" s="137" t="s">
        <v>36</v>
      </c>
      <c r="C24" s="156" t="e">
        <f>#REF!</f>
        <v>#REF!</v>
      </c>
      <c r="D24" s="7">
        <v>30</v>
      </c>
      <c r="E24" s="147" t="e">
        <f>C24*D24/1000</f>
        <v>#REF!</v>
      </c>
      <c r="F24" s="5" t="s">
        <v>15</v>
      </c>
      <c r="G24" s="149" t="e">
        <f t="shared" si="2"/>
        <v>#REF!</v>
      </c>
      <c r="H24" s="150"/>
      <c r="I24" s="151" t="e">
        <f t="shared" si="3"/>
        <v>#REF!</v>
      </c>
      <c r="J24" s="471" t="e">
        <f>#REF!</f>
        <v>#REF!</v>
      </c>
      <c r="K24" s="153" t="e">
        <f>#REF!</f>
        <v>#REF!</v>
      </c>
      <c r="L24" s="147" t="e">
        <f t="shared" si="4"/>
        <v>#REF!</v>
      </c>
      <c r="M24" s="148"/>
      <c r="N24" s="149" t="e">
        <f t="shared" si="5"/>
        <v>#REF!</v>
      </c>
      <c r="O24" s="149"/>
    </row>
    <row r="25" spans="1:15" ht="15" customHeight="1" x14ac:dyDescent="0.15">
      <c r="A25" s="905"/>
      <c r="B25" s="137" t="s">
        <v>33</v>
      </c>
      <c r="C25" s="156" t="e">
        <f>#REF!*(1-転出率)</f>
        <v>#REF!</v>
      </c>
      <c r="D25" s="222">
        <v>10</v>
      </c>
      <c r="E25" s="147" t="e">
        <f>C25*D25/1000</f>
        <v>#REF!</v>
      </c>
      <c r="F25" s="146" t="s">
        <v>170</v>
      </c>
      <c r="G25" s="149" t="e">
        <f t="shared" si="2"/>
        <v>#REF!</v>
      </c>
      <c r="H25" s="150"/>
      <c r="I25" s="151" t="e">
        <f t="shared" si="3"/>
        <v>#REF!</v>
      </c>
      <c r="J25" s="471" t="e">
        <f>#REF!</f>
        <v>#REF!</v>
      </c>
      <c r="K25" s="153" t="e">
        <f>#REF!</f>
        <v>#REF!</v>
      </c>
      <c r="L25" s="147" t="e">
        <f t="shared" si="4"/>
        <v>#REF!</v>
      </c>
      <c r="M25" s="148"/>
      <c r="N25" s="149" t="e">
        <f t="shared" si="5"/>
        <v>#REF!</v>
      </c>
      <c r="O25" s="149"/>
    </row>
    <row r="26" spans="1:15" ht="15" customHeight="1" x14ac:dyDescent="0.15">
      <c r="A26" s="905"/>
      <c r="B26" s="5" t="s">
        <v>35</v>
      </c>
      <c r="C26" s="156" t="e">
        <f>C24-C25</f>
        <v>#REF!</v>
      </c>
      <c r="D26" s="222">
        <v>5</v>
      </c>
      <c r="E26" s="147" t="e">
        <f>C26*D26/1000</f>
        <v>#REF!</v>
      </c>
      <c r="F26" s="146" t="s">
        <v>171</v>
      </c>
      <c r="G26" s="149" t="e">
        <f t="shared" si="2"/>
        <v>#REF!</v>
      </c>
      <c r="H26" s="150"/>
      <c r="I26" s="151" t="e">
        <f t="shared" si="3"/>
        <v>#REF!</v>
      </c>
      <c r="J26" s="471" t="e">
        <f>#REF!</f>
        <v>#REF!</v>
      </c>
      <c r="K26" s="153" t="e">
        <f>#REF!</f>
        <v>#REF!</v>
      </c>
      <c r="L26" s="147" t="e">
        <f t="shared" si="4"/>
        <v>#REF!</v>
      </c>
      <c r="M26" s="148"/>
      <c r="N26" s="149" t="e">
        <f t="shared" si="5"/>
        <v>#REF!</v>
      </c>
      <c r="O26" s="149"/>
    </row>
    <row r="27" spans="1:15" ht="15" customHeight="1" x14ac:dyDescent="0.15">
      <c r="A27" s="905"/>
      <c r="B27" s="146" t="s">
        <v>34</v>
      </c>
      <c r="C27" s="156" t="e">
        <f>#REF!</f>
        <v>#REF!</v>
      </c>
      <c r="D27" s="246">
        <v>2</v>
      </c>
      <c r="E27" s="6" t="e">
        <f>C27*D27*30/1000</f>
        <v>#REF!</v>
      </c>
      <c r="F27" s="15" t="s">
        <v>394</v>
      </c>
      <c r="G27" s="149" t="e">
        <f t="shared" si="2"/>
        <v>#REF!</v>
      </c>
      <c r="H27" s="150"/>
      <c r="I27" s="151" t="e">
        <f t="shared" si="3"/>
        <v>#REF!</v>
      </c>
      <c r="J27" s="471" t="e">
        <f>#REF!</f>
        <v>#REF!</v>
      </c>
      <c r="K27" s="153" t="e">
        <f>#REF!</f>
        <v>#REF!</v>
      </c>
      <c r="L27" s="147" t="e">
        <f t="shared" si="4"/>
        <v>#REF!</v>
      </c>
      <c r="M27" s="148"/>
      <c r="N27" s="149" t="e">
        <f t="shared" si="5"/>
        <v>#REF!</v>
      </c>
      <c r="O27" s="149"/>
    </row>
    <row r="28" spans="1:15" ht="15" customHeight="1" x14ac:dyDescent="0.15">
      <c r="A28" s="905"/>
      <c r="B28" s="137" t="s">
        <v>289</v>
      </c>
      <c r="C28" s="762" t="e">
        <f>#REF!</f>
        <v>#REF!</v>
      </c>
      <c r="D28" s="475">
        <v>2</v>
      </c>
      <c r="E28" s="147" t="e">
        <f>C28*D28*30/1000</f>
        <v>#REF!</v>
      </c>
      <c r="F28" s="223" t="s">
        <v>395</v>
      </c>
      <c r="G28" s="149" t="e">
        <f t="shared" si="2"/>
        <v>#REF!</v>
      </c>
      <c r="H28" s="150"/>
      <c r="I28" s="151" t="e">
        <f t="shared" si="3"/>
        <v>#REF!</v>
      </c>
      <c r="J28" s="471" t="e">
        <f>#REF!</f>
        <v>#REF!</v>
      </c>
      <c r="K28" s="153" t="e">
        <f>#REF!</f>
        <v>#REF!</v>
      </c>
      <c r="L28" s="147" t="e">
        <f t="shared" si="4"/>
        <v>#REF!</v>
      </c>
      <c r="M28" s="148"/>
      <c r="N28" s="149" t="e">
        <f t="shared" si="5"/>
        <v>#REF!</v>
      </c>
      <c r="O28" s="149"/>
    </row>
    <row r="29" spans="1:15" ht="15" customHeight="1" x14ac:dyDescent="0.15">
      <c r="A29" s="905"/>
      <c r="B29" s="158" t="s">
        <v>118</v>
      </c>
      <c r="C29" s="159" t="e">
        <f>SUM(E20:E28)</f>
        <v>#REF!</v>
      </c>
      <c r="D29" s="723">
        <v>0</v>
      </c>
      <c r="E29" s="159" t="e">
        <f>C29*D29</f>
        <v>#REF!</v>
      </c>
      <c r="F29" s="161"/>
      <c r="G29" s="162" t="e">
        <f>E29</f>
        <v>#REF!</v>
      </c>
      <c r="H29" s="163"/>
      <c r="I29" s="151">
        <v>0</v>
      </c>
      <c r="J29" s="472"/>
      <c r="K29" s="166"/>
      <c r="L29" s="159"/>
      <c r="M29" s="161"/>
      <c r="N29" s="162"/>
      <c r="O29" s="162"/>
    </row>
    <row r="30" spans="1:15" ht="15" customHeight="1" x14ac:dyDescent="0.15">
      <c r="A30" s="906"/>
      <c r="B30" s="9" t="s">
        <v>335</v>
      </c>
      <c r="C30" s="10"/>
      <c r="D30" s="9"/>
      <c r="E30" s="11" t="e">
        <f>SUM(E20:E29)</f>
        <v>#REF!</v>
      </c>
      <c r="F30" s="167"/>
      <c r="G30" s="168" t="e">
        <f>SUM(G20:G29)</f>
        <v>#REF!</v>
      </c>
      <c r="H30" s="169">
        <f>SUM(H20:H29)</f>
        <v>0</v>
      </c>
      <c r="I30" s="170" t="e">
        <f>SUM(I20:I29)</f>
        <v>#REF!</v>
      </c>
      <c r="J30" s="473"/>
      <c r="K30" s="172"/>
      <c r="L30" s="11" t="e">
        <f>SUM(L20:L29)</f>
        <v>#REF!</v>
      </c>
      <c r="M30" s="167"/>
      <c r="N30" s="168" t="e">
        <f>SUM(N20:N29)</f>
        <v>#REF!</v>
      </c>
      <c r="O30" s="168">
        <f>SUM(O20:O29)</f>
        <v>333</v>
      </c>
    </row>
    <row r="31" spans="1:15" ht="15" customHeight="1" x14ac:dyDescent="0.15">
      <c r="A31" s="904" t="s">
        <v>19</v>
      </c>
      <c r="B31" s="173" t="e">
        <f>#REF!</f>
        <v>#REF!</v>
      </c>
      <c r="C31" s="184" t="e">
        <f>#REF!</f>
        <v>#REF!</v>
      </c>
      <c r="D31" s="768" t="e">
        <f>#REF!*D58</f>
        <v>#REF!</v>
      </c>
      <c r="E31" s="176" t="e">
        <f t="shared" ref="E31:E41" si="6">C31*D31/1000</f>
        <v>#REF!</v>
      </c>
      <c r="F31" s="177" t="s">
        <v>20</v>
      </c>
      <c r="G31" s="178"/>
      <c r="H31" s="179" t="e">
        <f t="shared" ref="H31:H42" si="7">E31</f>
        <v>#REF!</v>
      </c>
      <c r="I31" s="869" t="e">
        <f>SUM(H31:H33)*0.26</f>
        <v>#REF!</v>
      </c>
      <c r="J31" s="1150" t="e">
        <f>#REF!</f>
        <v>#REF!</v>
      </c>
      <c r="K31" s="1153" t="e">
        <f>#REF!</f>
        <v>#REF!</v>
      </c>
      <c r="L31" s="907" t="e">
        <f>I31*J31*K31</f>
        <v>#REF!</v>
      </c>
      <c r="M31" s="863" t="s">
        <v>374</v>
      </c>
      <c r="N31" s="861"/>
      <c r="O31" s="857" t="e">
        <f>L31</f>
        <v>#REF!</v>
      </c>
    </row>
    <row r="32" spans="1:15" ht="15" customHeight="1" x14ac:dyDescent="0.15">
      <c r="A32" s="905"/>
      <c r="B32" s="146" t="e">
        <f>#REF!</f>
        <v>#REF!</v>
      </c>
      <c r="C32" s="186" t="e">
        <f>#REF!</f>
        <v>#REF!</v>
      </c>
      <c r="D32" s="769" t="e">
        <f>#REF!*D58</f>
        <v>#REF!</v>
      </c>
      <c r="E32" s="147" t="e">
        <f t="shared" si="6"/>
        <v>#REF!</v>
      </c>
      <c r="F32" s="148" t="s">
        <v>20</v>
      </c>
      <c r="G32" s="149"/>
      <c r="H32" s="150" t="e">
        <f t="shared" si="7"/>
        <v>#REF!</v>
      </c>
      <c r="I32" s="1161"/>
      <c r="J32" s="1151"/>
      <c r="K32" s="1154"/>
      <c r="L32" s="1156"/>
      <c r="M32" s="864"/>
      <c r="N32" s="1159"/>
      <c r="O32" s="858"/>
    </row>
    <row r="33" spans="1:16" ht="15" customHeight="1" x14ac:dyDescent="0.15">
      <c r="A33" s="905"/>
      <c r="B33" s="158" t="e">
        <f>#REF!</f>
        <v>#REF!</v>
      </c>
      <c r="C33" s="687" t="e">
        <f>#REF!</f>
        <v>#REF!</v>
      </c>
      <c r="D33" s="770" t="e">
        <f>#REF!*D58</f>
        <v>#REF!</v>
      </c>
      <c r="E33" s="159" t="e">
        <f t="shared" si="6"/>
        <v>#REF!</v>
      </c>
      <c r="F33" s="161" t="s">
        <v>20</v>
      </c>
      <c r="G33" s="162"/>
      <c r="H33" s="163" t="e">
        <f t="shared" si="7"/>
        <v>#REF!</v>
      </c>
      <c r="I33" s="870"/>
      <c r="J33" s="1152"/>
      <c r="K33" s="1155"/>
      <c r="L33" s="908"/>
      <c r="M33" s="1158"/>
      <c r="N33" s="1160"/>
      <c r="O33" s="873"/>
      <c r="P33" s="244"/>
    </row>
    <row r="34" spans="1:16" ht="15" customHeight="1" x14ac:dyDescent="0.15">
      <c r="A34" s="905"/>
      <c r="B34" s="173" t="e">
        <f>#REF!</f>
        <v>#REF!</v>
      </c>
      <c r="C34" s="184" t="e">
        <f>#REF!</f>
        <v>#REF!</v>
      </c>
      <c r="D34" s="768" t="e">
        <f>#REF!*D58</f>
        <v>#REF!</v>
      </c>
      <c r="E34" s="176" t="e">
        <f>C34*D34/1000</f>
        <v>#REF!</v>
      </c>
      <c r="F34" s="177" t="s">
        <v>371</v>
      </c>
      <c r="G34" s="178"/>
      <c r="H34" s="179" t="e">
        <f t="shared" si="7"/>
        <v>#REF!</v>
      </c>
      <c r="I34" s="869" t="e">
        <f>SUM(H34:H36)*0</f>
        <v>#REF!</v>
      </c>
      <c r="J34" s="1150" t="e">
        <f>#REF!</f>
        <v>#REF!</v>
      </c>
      <c r="K34" s="1153" t="e">
        <f>#REF!</f>
        <v>#REF!</v>
      </c>
      <c r="L34" s="907" t="e">
        <f>I34*J34*K34</f>
        <v>#REF!</v>
      </c>
      <c r="M34" s="863" t="s">
        <v>372</v>
      </c>
      <c r="N34" s="857"/>
      <c r="O34" s="857" t="e">
        <f>L34</f>
        <v>#REF!</v>
      </c>
    </row>
    <row r="35" spans="1:16" ht="15" customHeight="1" x14ac:dyDescent="0.15">
      <c r="A35" s="905"/>
      <c r="B35" s="146" t="e">
        <f>#REF!</f>
        <v>#REF!</v>
      </c>
      <c r="C35" s="186" t="e">
        <f>#REF!</f>
        <v>#REF!</v>
      </c>
      <c r="D35" s="769" t="e">
        <f>#REF!*D58</f>
        <v>#REF!</v>
      </c>
      <c r="E35" s="147" t="e">
        <f>C35*D35/1000</f>
        <v>#REF!</v>
      </c>
      <c r="F35" s="148" t="s">
        <v>371</v>
      </c>
      <c r="G35" s="149"/>
      <c r="H35" s="150" t="e">
        <f t="shared" si="7"/>
        <v>#REF!</v>
      </c>
      <c r="I35" s="1161"/>
      <c r="J35" s="1151"/>
      <c r="K35" s="1154"/>
      <c r="L35" s="1156"/>
      <c r="M35" s="1162"/>
      <c r="N35" s="858"/>
      <c r="O35" s="858"/>
    </row>
    <row r="36" spans="1:16" ht="15" customHeight="1" x14ac:dyDescent="0.15">
      <c r="A36" s="905"/>
      <c r="B36" s="158" t="e">
        <f>#REF!</f>
        <v>#REF!</v>
      </c>
      <c r="C36" s="687" t="e">
        <f>#REF!</f>
        <v>#REF!</v>
      </c>
      <c r="D36" s="770" t="e">
        <f>#REF!*D58</f>
        <v>#REF!</v>
      </c>
      <c r="E36" s="159" t="e">
        <f>C36*D36/1000</f>
        <v>#REF!</v>
      </c>
      <c r="F36" s="161" t="s">
        <v>371</v>
      </c>
      <c r="G36" s="162"/>
      <c r="H36" s="163" t="e">
        <f t="shared" si="7"/>
        <v>#REF!</v>
      </c>
      <c r="I36" s="870"/>
      <c r="J36" s="1152"/>
      <c r="K36" s="1155"/>
      <c r="L36" s="908"/>
      <c r="M36" s="1163"/>
      <c r="N36" s="873"/>
      <c r="O36" s="873"/>
    </row>
    <row r="37" spans="1:16" ht="15" customHeight="1" x14ac:dyDescent="0.15">
      <c r="A37" s="905"/>
      <c r="B37" s="173" t="e">
        <f>#REF!</f>
        <v>#REF!</v>
      </c>
      <c r="C37" s="691" t="e">
        <f>#REF!</f>
        <v>#REF!</v>
      </c>
      <c r="D37" s="771" t="e">
        <f>#REF!*D58</f>
        <v>#REF!</v>
      </c>
      <c r="E37" s="176" t="e">
        <f t="shared" si="6"/>
        <v>#REF!</v>
      </c>
      <c r="F37" s="177" t="s">
        <v>332</v>
      </c>
      <c r="G37" s="178"/>
      <c r="H37" s="179" t="e">
        <f>E37</f>
        <v>#REF!</v>
      </c>
      <c r="I37" s="869" t="e">
        <f>H37+H38+H39</f>
        <v>#REF!</v>
      </c>
      <c r="J37" s="1150" t="e">
        <f>#REF!</f>
        <v>#REF!</v>
      </c>
      <c r="K37" s="1153" t="e">
        <f>#REF!</f>
        <v>#REF!</v>
      </c>
      <c r="L37" s="907" t="e">
        <f>I37*J37*K37</f>
        <v>#REF!</v>
      </c>
      <c r="M37" s="1157" t="s">
        <v>373</v>
      </c>
      <c r="N37" s="861"/>
      <c r="O37" s="857" t="e">
        <f>L37</f>
        <v>#REF!</v>
      </c>
    </row>
    <row r="38" spans="1:16" ht="15" customHeight="1" x14ac:dyDescent="0.15">
      <c r="A38" s="905"/>
      <c r="B38" s="215" t="e">
        <f>#REF!</f>
        <v>#REF!</v>
      </c>
      <c r="C38" s="216" t="e">
        <f>#REF!</f>
        <v>#REF!</v>
      </c>
      <c r="D38" s="769" t="e">
        <f>#REF!*D58</f>
        <v>#REF!</v>
      </c>
      <c r="E38" s="147" t="e">
        <f t="shared" si="6"/>
        <v>#REF!</v>
      </c>
      <c r="F38" s="148" t="s">
        <v>371</v>
      </c>
      <c r="G38" s="219"/>
      <c r="H38" s="150" t="e">
        <f>E38</f>
        <v>#REF!</v>
      </c>
      <c r="I38" s="1161"/>
      <c r="J38" s="1151"/>
      <c r="K38" s="1154"/>
      <c r="L38" s="1156"/>
      <c r="M38" s="864"/>
      <c r="N38" s="1159"/>
      <c r="O38" s="858"/>
    </row>
    <row r="39" spans="1:16" ht="15" customHeight="1" x14ac:dyDescent="0.15">
      <c r="A39" s="905"/>
      <c r="B39" s="158" t="e">
        <f>#REF!</f>
        <v>#REF!</v>
      </c>
      <c r="C39" s="687" t="e">
        <f>#REF!</f>
        <v>#REF!</v>
      </c>
      <c r="D39" s="770" t="e">
        <f>#REF!*D58</f>
        <v>#REF!</v>
      </c>
      <c r="E39" s="159" t="e">
        <f t="shared" si="6"/>
        <v>#REF!</v>
      </c>
      <c r="F39" s="161" t="s">
        <v>371</v>
      </c>
      <c r="G39" s="162"/>
      <c r="H39" s="163" t="e">
        <f>E39</f>
        <v>#REF!</v>
      </c>
      <c r="I39" s="870"/>
      <c r="J39" s="1152"/>
      <c r="K39" s="1155"/>
      <c r="L39" s="908"/>
      <c r="M39" s="1158"/>
      <c r="N39" s="1160"/>
      <c r="O39" s="873"/>
    </row>
    <row r="40" spans="1:16" ht="15" customHeight="1" x14ac:dyDescent="0.15">
      <c r="A40" s="905"/>
      <c r="B40" s="5" t="s">
        <v>164</v>
      </c>
      <c r="C40" s="689" t="e">
        <f>(#REF!-#REF!)*0.3025</f>
        <v>#REF!</v>
      </c>
      <c r="D40" s="686">
        <v>200</v>
      </c>
      <c r="E40" s="139" t="e">
        <f t="shared" si="6"/>
        <v>#REF!</v>
      </c>
      <c r="F40" s="140" t="s">
        <v>20</v>
      </c>
      <c r="G40" s="658"/>
      <c r="H40" s="142" t="e">
        <f t="shared" si="7"/>
        <v>#REF!</v>
      </c>
      <c r="I40" s="143" t="e">
        <f>E40</f>
        <v>#REF!</v>
      </c>
      <c r="J40" s="690" t="e">
        <f>#REF!</f>
        <v>#REF!</v>
      </c>
      <c r="K40" s="145" t="e">
        <f>#REF!</f>
        <v>#REF!</v>
      </c>
      <c r="L40" s="139" t="e">
        <f>I40*J40*K40</f>
        <v>#REF!</v>
      </c>
      <c r="M40" s="140"/>
      <c r="N40" s="141"/>
      <c r="O40" s="141" t="e">
        <f>L40</f>
        <v>#REF!</v>
      </c>
    </row>
    <row r="41" spans="1:16" ht="15" customHeight="1" x14ac:dyDescent="0.15">
      <c r="A41" s="905"/>
      <c r="B41" s="215" t="s">
        <v>123</v>
      </c>
      <c r="C41" s="216" t="e">
        <f>#REF!*0.3025</f>
        <v>#REF!</v>
      </c>
      <c r="D41" s="187">
        <v>100</v>
      </c>
      <c r="E41" s="147" t="e">
        <f t="shared" si="6"/>
        <v>#REF!</v>
      </c>
      <c r="F41" s="148" t="s">
        <v>20</v>
      </c>
      <c r="G41" s="219"/>
      <c r="H41" s="150" t="e">
        <f t="shared" si="7"/>
        <v>#REF!</v>
      </c>
      <c r="I41" s="220"/>
      <c r="J41" s="474"/>
      <c r="K41" s="221"/>
      <c r="L41" s="217"/>
      <c r="M41" s="218"/>
      <c r="N41" s="219"/>
      <c r="O41" s="219"/>
    </row>
    <row r="42" spans="1:16" ht="15" customHeight="1" x14ac:dyDescent="0.15">
      <c r="A42" s="905"/>
      <c r="B42" s="158" t="s">
        <v>127</v>
      </c>
      <c r="C42" s="159" t="e">
        <f>SUM(E31:E41)</f>
        <v>#REF!</v>
      </c>
      <c r="D42" s="160">
        <v>0.1</v>
      </c>
      <c r="E42" s="159" t="e">
        <f>C42*D42</f>
        <v>#REF!</v>
      </c>
      <c r="F42" s="188"/>
      <c r="G42" s="162"/>
      <c r="H42" s="163" t="e">
        <f t="shared" si="7"/>
        <v>#REF!</v>
      </c>
      <c r="I42" s="164"/>
      <c r="J42" s="165"/>
      <c r="K42" s="166"/>
      <c r="L42" s="159"/>
      <c r="M42" s="188"/>
      <c r="N42" s="162"/>
      <c r="O42" s="162"/>
    </row>
    <row r="43" spans="1:16" ht="15" customHeight="1" x14ac:dyDescent="0.15">
      <c r="A43" s="906"/>
      <c r="B43" s="9" t="s">
        <v>21</v>
      </c>
      <c r="C43" s="10"/>
      <c r="D43" s="9"/>
      <c r="E43" s="11" t="e">
        <f>SUM(E31:E42)</f>
        <v>#REF!</v>
      </c>
      <c r="F43" s="167"/>
      <c r="G43" s="168">
        <f>SUM(G31:G42)</f>
        <v>0</v>
      </c>
      <c r="H43" s="169" t="e">
        <f>SUM(H31:H42)</f>
        <v>#REF!</v>
      </c>
      <c r="I43" s="170" t="e">
        <f>SUM(I31:I42)</f>
        <v>#REF!</v>
      </c>
      <c r="J43" s="11"/>
      <c r="K43" s="172"/>
      <c r="L43" s="11" t="e">
        <f>SUM(L31:L42)</f>
        <v>#REF!</v>
      </c>
      <c r="M43" s="167"/>
      <c r="N43" s="168">
        <f>SUM(N31:N42)</f>
        <v>0</v>
      </c>
      <c r="O43" s="168" t="e">
        <f>SUM(O31:O42)</f>
        <v>#REF!</v>
      </c>
    </row>
    <row r="44" spans="1:16" ht="15" hidden="1" customHeight="1" x14ac:dyDescent="0.15">
      <c r="A44" s="888" t="s">
        <v>169</v>
      </c>
      <c r="B44" s="173" t="s">
        <v>123</v>
      </c>
      <c r="C44" s="240"/>
      <c r="D44" s="173"/>
      <c r="E44" s="176"/>
      <c r="F44" s="177"/>
      <c r="G44" s="178"/>
      <c r="H44" s="179"/>
      <c r="I44" s="241">
        <v>0</v>
      </c>
      <c r="J44" s="242">
        <v>30</v>
      </c>
      <c r="K44" s="243"/>
      <c r="L44" s="176">
        <f>I44*J44*K44/1000</f>
        <v>0</v>
      </c>
      <c r="M44" s="177" t="s">
        <v>172</v>
      </c>
      <c r="N44" s="193">
        <f>L44</f>
        <v>0</v>
      </c>
      <c r="O44" s="178"/>
    </row>
    <row r="45" spans="1:16" ht="15" hidden="1" customHeight="1" x14ac:dyDescent="0.15">
      <c r="A45" s="889"/>
      <c r="B45" s="232" t="s">
        <v>126</v>
      </c>
      <c r="C45" s="233"/>
      <c r="D45" s="8"/>
      <c r="E45" s="19"/>
      <c r="F45" s="234"/>
      <c r="G45" s="235"/>
      <c r="H45" s="236"/>
      <c r="I45" s="237" t="e">
        <f>#REF!</f>
        <v>#REF!</v>
      </c>
      <c r="J45" s="238">
        <v>53</v>
      </c>
      <c r="K45" s="239"/>
      <c r="L45" s="19" t="e">
        <f>I45*J45*K45/1000</f>
        <v>#REF!</v>
      </c>
      <c r="M45" s="234" t="e">
        <f>"単価：路線価"&amp;#REF!&amp;"千円/㎡×1.2"</f>
        <v>#REF!</v>
      </c>
      <c r="N45" s="162" t="e">
        <f>L45</f>
        <v>#REF!</v>
      </c>
      <c r="O45" s="235"/>
    </row>
    <row r="46" spans="1:16" ht="15" hidden="1" customHeight="1" x14ac:dyDescent="0.15">
      <c r="A46" s="890"/>
      <c r="B46" s="224" t="s">
        <v>397</v>
      </c>
      <c r="C46" s="225"/>
      <c r="D46" s="226"/>
      <c r="E46" s="227"/>
      <c r="F46" s="228"/>
      <c r="G46" s="168"/>
      <c r="H46" s="169"/>
      <c r="I46" s="229"/>
      <c r="J46" s="230"/>
      <c r="K46" s="231"/>
      <c r="L46" s="227" t="e">
        <f>SUM(L44:L45)</f>
        <v>#REF!</v>
      </c>
      <c r="M46" s="228"/>
      <c r="N46" s="168" t="e">
        <f>SUM(N44:N45)</f>
        <v>#REF!</v>
      </c>
      <c r="O46" s="168">
        <f>SUM(O44:O45)</f>
        <v>0</v>
      </c>
    </row>
    <row r="47" spans="1:16" ht="15" customHeight="1" thickBot="1" x14ac:dyDescent="0.2">
      <c r="A47" s="1145" t="s">
        <v>433</v>
      </c>
      <c r="B47" s="1146"/>
      <c r="C47" s="733"/>
      <c r="D47" s="734"/>
      <c r="E47" s="735"/>
      <c r="F47" s="736"/>
      <c r="G47" s="737"/>
      <c r="H47" s="738"/>
      <c r="I47" s="739"/>
      <c r="J47" s="740"/>
      <c r="K47" s="741"/>
      <c r="L47" s="764" t="e">
        <f>消費税還付の計算!C34</f>
        <v>#REF!</v>
      </c>
      <c r="M47" s="736"/>
      <c r="N47" s="737"/>
      <c r="O47" s="737"/>
    </row>
    <row r="48" spans="1:16" ht="15" customHeight="1" thickTop="1" x14ac:dyDescent="0.15">
      <c r="A48" s="1147" t="s">
        <v>161</v>
      </c>
      <c r="B48" s="1148"/>
      <c r="C48" s="8"/>
      <c r="D48" s="8"/>
      <c r="E48" s="732" t="e">
        <f>SUM(E43,E30,E19,E13)</f>
        <v>#REF!</v>
      </c>
      <c r="F48" s="234"/>
      <c r="G48" s="235" t="e">
        <f>SUM(G13,G19,G30,G43)</f>
        <v>#REF!</v>
      </c>
      <c r="H48" s="236" t="e">
        <f>SUM(H13,H19,H30,H43)</f>
        <v>#REF!</v>
      </c>
      <c r="I48" s="859" t="s">
        <v>434</v>
      </c>
      <c r="J48" s="860"/>
      <c r="K48" s="1149"/>
      <c r="L48" s="732" t="e">
        <f>SUM(L13,L19,L30,L43,L46,L47)</f>
        <v>#REF!</v>
      </c>
      <c r="M48" s="234"/>
      <c r="N48" s="235"/>
      <c r="O48" s="235"/>
    </row>
    <row r="49" spans="1:18" ht="15" customHeight="1" x14ac:dyDescent="0.15">
      <c r="A49" s="1131" t="s">
        <v>290</v>
      </c>
      <c r="B49" s="1132"/>
      <c r="C49" s="12" t="e">
        <f>E48</f>
        <v>#REF!</v>
      </c>
      <c r="D49" s="3">
        <v>0.03</v>
      </c>
      <c r="E49" s="12" t="e">
        <f>C49*D49</f>
        <v>#REF!</v>
      </c>
      <c r="F49" s="18" t="s">
        <v>292</v>
      </c>
      <c r="G49" s="189" t="e">
        <f>E49*$P$6</f>
        <v>#REF!</v>
      </c>
      <c r="H49" s="190" t="e">
        <f>E49*$Q$6</f>
        <v>#REF!</v>
      </c>
      <c r="I49" s="1133"/>
      <c r="J49" s="1134"/>
      <c r="K49" s="1135"/>
      <c r="L49" s="12"/>
      <c r="M49" s="18"/>
      <c r="N49" s="189"/>
      <c r="O49" s="189"/>
    </row>
    <row r="50" spans="1:18" ht="15" customHeight="1" x14ac:dyDescent="0.15">
      <c r="A50" s="1131" t="s">
        <v>291</v>
      </c>
      <c r="B50" s="1132"/>
      <c r="C50" s="12"/>
      <c r="D50" s="478">
        <v>5</v>
      </c>
      <c r="E50" s="12" t="e">
        <f>(E48+E49)*0.4*0.015*D50</f>
        <v>#REF!</v>
      </c>
      <c r="F50" s="479" t="s">
        <v>396</v>
      </c>
      <c r="G50" s="189" t="e">
        <f>E50*$P$6</f>
        <v>#REF!</v>
      </c>
      <c r="H50" s="190" t="e">
        <f>E50*$Q$6</f>
        <v>#REF!</v>
      </c>
      <c r="I50" s="1133"/>
      <c r="J50" s="1134"/>
      <c r="K50" s="1135"/>
      <c r="L50" s="12"/>
      <c r="M50" s="18"/>
      <c r="N50" s="189"/>
      <c r="O50" s="189"/>
    </row>
    <row r="51" spans="1:18" ht="15" customHeight="1" thickBot="1" x14ac:dyDescent="0.2">
      <c r="A51" s="1140" t="s">
        <v>118</v>
      </c>
      <c r="B51" s="1141"/>
      <c r="C51" s="191" t="e">
        <f>E48+E49+E50</f>
        <v>#REF!</v>
      </c>
      <c r="D51" s="94">
        <v>0.03</v>
      </c>
      <c r="E51" s="191" t="e">
        <f>C51*D51</f>
        <v>#REF!</v>
      </c>
      <c r="F51" s="192" t="s">
        <v>293</v>
      </c>
      <c r="G51" s="193" t="e">
        <f>E51*$P$6</f>
        <v>#REF!</v>
      </c>
      <c r="H51" s="194" t="e">
        <f>E51*$Q$6</f>
        <v>#REF!</v>
      </c>
      <c r="I51" s="1142"/>
      <c r="J51" s="1143"/>
      <c r="K51" s="1144"/>
      <c r="L51" s="191"/>
      <c r="M51" s="195"/>
      <c r="N51" s="193"/>
      <c r="O51" s="193"/>
    </row>
    <row r="52" spans="1:18" ht="15" customHeight="1" thickTop="1" x14ac:dyDescent="0.15">
      <c r="A52" s="196" t="s">
        <v>37</v>
      </c>
      <c r="B52" s="204"/>
      <c r="C52" s="197"/>
      <c r="D52" s="198"/>
      <c r="E52" s="199" t="e">
        <f>E48+E49+E50+E51</f>
        <v>#REF!</v>
      </c>
      <c r="F52" s="197"/>
      <c r="G52" s="200" t="e">
        <f>SUM(G48:G51)</f>
        <v>#REF!</v>
      </c>
      <c r="H52" s="201" t="e">
        <f>SUM(H48:H51)</f>
        <v>#REF!</v>
      </c>
      <c r="I52" s="202" t="s">
        <v>62</v>
      </c>
      <c r="J52" s="197"/>
      <c r="K52" s="203"/>
      <c r="L52" s="199" t="e">
        <f>L48</f>
        <v>#REF!</v>
      </c>
      <c r="M52" s="204"/>
      <c r="N52" s="200" t="e">
        <f>SUM(N13,N19,N30,N43,N46)</f>
        <v>#REF!</v>
      </c>
      <c r="O52" s="200" t="e">
        <f>SUM(O13,O19,O30,O43,O46)</f>
        <v>#REF!</v>
      </c>
    </row>
    <row r="53" spans="1:18" ht="15" customHeight="1" x14ac:dyDescent="0.15">
      <c r="A53" s="205"/>
      <c r="B53" s="206" t="s">
        <v>23</v>
      </c>
      <c r="C53" s="207"/>
      <c r="D53" s="208"/>
      <c r="E53" s="209" t="e">
        <f>G52</f>
        <v>#REF!</v>
      </c>
      <c r="F53" s="1136" t="s">
        <v>38</v>
      </c>
      <c r="G53" s="1137"/>
      <c r="H53" s="1137"/>
      <c r="I53" s="210"/>
      <c r="J53" s="211" t="s">
        <v>162</v>
      </c>
      <c r="K53" s="212"/>
      <c r="L53" s="209" t="e">
        <f>N52</f>
        <v>#REF!</v>
      </c>
      <c r="M53" s="1136" t="s">
        <v>38</v>
      </c>
      <c r="N53" s="1137"/>
      <c r="O53" s="1138"/>
      <c r="P53" s="17"/>
      <c r="Q53" s="17"/>
      <c r="R53" s="17"/>
    </row>
    <row r="54" spans="1:18" ht="15" customHeight="1" x14ac:dyDescent="0.15">
      <c r="A54" s="213"/>
      <c r="B54" s="206" t="s">
        <v>24</v>
      </c>
      <c r="C54" s="207"/>
      <c r="D54" s="208"/>
      <c r="E54" s="209" t="e">
        <f>H52</f>
        <v>#REF!</v>
      </c>
      <c r="F54" s="1136" t="s">
        <v>38</v>
      </c>
      <c r="G54" s="1137"/>
      <c r="H54" s="1137"/>
      <c r="I54" s="214"/>
      <c r="J54" s="211" t="s">
        <v>163</v>
      </c>
      <c r="K54" s="212"/>
      <c r="L54" s="209" t="e">
        <f>O52</f>
        <v>#REF!</v>
      </c>
      <c r="M54" s="1136" t="s">
        <v>38</v>
      </c>
      <c r="N54" s="1137"/>
      <c r="O54" s="1138"/>
      <c r="P54" s="17"/>
      <c r="Q54" s="17"/>
      <c r="R54" s="17"/>
    </row>
    <row r="55" spans="1:18" x14ac:dyDescent="0.15">
      <c r="A55" s="1139" t="s">
        <v>353</v>
      </c>
      <c r="B55" s="1139"/>
      <c r="C55" s="1139"/>
      <c r="D55" s="1139"/>
      <c r="E55" s="1139"/>
      <c r="F55" s="1139"/>
      <c r="G55" s="1139"/>
      <c r="H55" s="1139"/>
      <c r="I55" s="1139"/>
      <c r="J55" s="1139"/>
      <c r="K55" s="1139"/>
      <c r="L55" s="1139"/>
      <c r="M55" s="1139"/>
      <c r="N55" s="1139"/>
      <c r="O55" s="1139"/>
      <c r="P55" s="560"/>
    </row>
    <row r="56" spans="1:18" x14ac:dyDescent="0.15">
      <c r="A56" s="560"/>
      <c r="B56" s="560"/>
      <c r="C56" s="560"/>
      <c r="D56" s="560"/>
      <c r="E56" s="560"/>
      <c r="F56" s="560"/>
      <c r="G56" s="560"/>
      <c r="H56" s="560"/>
      <c r="I56" s="560"/>
      <c r="J56" s="560"/>
      <c r="K56" s="560"/>
      <c r="L56" s="560"/>
      <c r="M56" s="560"/>
      <c r="N56" s="561"/>
      <c r="O56" s="560"/>
      <c r="P56" s="560"/>
    </row>
    <row r="57" spans="1:18" x14ac:dyDescent="0.15">
      <c r="A57" s="560"/>
      <c r="B57" s="560"/>
      <c r="C57" s="560"/>
      <c r="D57" s="560"/>
      <c r="E57" s="560"/>
      <c r="F57" s="560"/>
      <c r="G57" s="560"/>
      <c r="H57" s="560"/>
      <c r="I57" s="560"/>
      <c r="J57" s="560"/>
      <c r="K57" s="560"/>
      <c r="L57" s="560"/>
      <c r="M57" s="560"/>
      <c r="N57" s="561"/>
      <c r="O57" s="560"/>
      <c r="P57" s="560"/>
    </row>
    <row r="58" spans="1:18" x14ac:dyDescent="0.15">
      <c r="C58" s="766" t="s">
        <v>422</v>
      </c>
      <c r="D58" s="767">
        <v>0.82499999999999996</v>
      </c>
      <c r="I58" s="16"/>
      <c r="N58" s="16"/>
    </row>
  </sheetData>
  <mergeCells count="45">
    <mergeCell ref="M1:O1"/>
    <mergeCell ref="B3:H3"/>
    <mergeCell ref="I3:O3"/>
    <mergeCell ref="P3:Q3"/>
    <mergeCell ref="R3:S3"/>
    <mergeCell ref="A5:A13"/>
    <mergeCell ref="A14:A19"/>
    <mergeCell ref="A20:A30"/>
    <mergeCell ref="A31:A43"/>
    <mergeCell ref="I31:I33"/>
    <mergeCell ref="I37:I39"/>
    <mergeCell ref="O31:O33"/>
    <mergeCell ref="I34:I36"/>
    <mergeCell ref="J34:J36"/>
    <mergeCell ref="K34:K36"/>
    <mergeCell ref="L34:L36"/>
    <mergeCell ref="M34:M36"/>
    <mergeCell ref="N34:N36"/>
    <mergeCell ref="O34:O36"/>
    <mergeCell ref="J31:J33"/>
    <mergeCell ref="K31:K33"/>
    <mergeCell ref="L31:L33"/>
    <mergeCell ref="M31:M33"/>
    <mergeCell ref="N31:N33"/>
    <mergeCell ref="O37:O39"/>
    <mergeCell ref="A44:A46"/>
    <mergeCell ref="A47:B47"/>
    <mergeCell ref="A48:B48"/>
    <mergeCell ref="I48:K48"/>
    <mergeCell ref="J37:J39"/>
    <mergeCell ref="K37:K39"/>
    <mergeCell ref="L37:L39"/>
    <mergeCell ref="M37:M39"/>
    <mergeCell ref="N37:N39"/>
    <mergeCell ref="A49:B49"/>
    <mergeCell ref="I49:K49"/>
    <mergeCell ref="F54:H54"/>
    <mergeCell ref="M54:O54"/>
    <mergeCell ref="A55:O55"/>
    <mergeCell ref="A50:B50"/>
    <mergeCell ref="I50:K50"/>
    <mergeCell ref="A51:B51"/>
    <mergeCell ref="I51:K51"/>
    <mergeCell ref="F53:H53"/>
    <mergeCell ref="M53:O53"/>
  </mergeCells>
  <phoneticPr fontId="2"/>
  <printOptions horizontalCentered="1" verticalCentered="1"/>
  <pageMargins left="0.35433070866141736" right="0.35433070866141736" top="0.39370078740157483" bottom="0.39370078740157483" header="0.31496062992125984" footer="0.31496062992125984"/>
  <pageSetup paperSize="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pageSetUpPr fitToPage="1"/>
  </sheetPr>
  <dimension ref="A1:O71"/>
  <sheetViews>
    <sheetView workbookViewId="0"/>
  </sheetViews>
  <sheetFormatPr defaultRowHeight="13.5" x14ac:dyDescent="0.15"/>
  <cols>
    <col min="1" max="1" width="1.125" customWidth="1"/>
    <col min="2" max="2" width="2.75" customWidth="1"/>
    <col min="3" max="3" width="16.25" customWidth="1"/>
    <col min="4" max="8" width="8" customWidth="1"/>
    <col min="9" max="9" width="7.75" customWidth="1"/>
    <col min="10" max="10" width="10.5" customWidth="1"/>
    <col min="11" max="11" width="9.5" customWidth="1"/>
    <col min="12" max="12" width="8" customWidth="1"/>
    <col min="13" max="13" width="2.125" customWidth="1"/>
    <col min="15" max="15" width="2.75" customWidth="1"/>
    <col min="16" max="16" width="14.75" customWidth="1"/>
  </cols>
  <sheetData>
    <row r="1" spans="1:15" ht="16.5" customHeight="1" x14ac:dyDescent="0.15">
      <c r="A1" s="387" t="s">
        <v>428</v>
      </c>
      <c r="B1" s="407"/>
      <c r="C1" s="407"/>
      <c r="D1" s="407"/>
      <c r="E1" s="407"/>
      <c r="F1" s="407"/>
      <c r="G1" s="407"/>
      <c r="H1" s="407"/>
      <c r="I1" s="407"/>
      <c r="J1" s="407"/>
      <c r="K1" s="1202">
        <f ca="1">TODAY()</f>
        <v>45398</v>
      </c>
      <c r="L1" s="1202"/>
      <c r="M1" s="1202"/>
    </row>
    <row r="3" spans="1:15" x14ac:dyDescent="0.15">
      <c r="B3" s="14" t="s">
        <v>41</v>
      </c>
    </row>
    <row r="4" spans="1:15" ht="6.95" customHeight="1" x14ac:dyDescent="0.15">
      <c r="B4" s="249"/>
      <c r="C4" s="20"/>
      <c r="D4" s="20"/>
      <c r="E4" s="20"/>
      <c r="F4" s="20"/>
      <c r="G4" s="20"/>
      <c r="H4" s="20"/>
      <c r="I4" s="20"/>
      <c r="J4" s="20"/>
      <c r="K4" s="250"/>
    </row>
    <row r="5" spans="1:15" ht="12" customHeight="1" x14ac:dyDescent="0.15">
      <c r="B5" s="1203"/>
      <c r="C5" s="1105"/>
      <c r="D5" s="1194" t="s">
        <v>42</v>
      </c>
      <c r="E5" s="1194"/>
      <c r="F5" s="1194" t="s">
        <v>43</v>
      </c>
      <c r="G5" s="1194"/>
      <c r="H5" s="1194" t="s">
        <v>173</v>
      </c>
      <c r="I5" s="1194"/>
      <c r="J5" s="1194" t="s">
        <v>44</v>
      </c>
      <c r="K5" s="1204"/>
      <c r="L5" s="1"/>
    </row>
    <row r="6" spans="1:15" ht="18.75" customHeight="1" x14ac:dyDescent="0.15">
      <c r="B6" s="1193" t="s">
        <v>66</v>
      </c>
      <c r="C6" s="1194"/>
      <c r="D6" s="17" t="e">
        <f>'事業費B(還付・工事費減)'!G52</f>
        <v>#REF!</v>
      </c>
      <c r="E6" s="251" t="s">
        <v>68</v>
      </c>
      <c r="F6" s="17" t="e">
        <f>'事業費B(還付・工事費減)'!N52</f>
        <v>#REF!</v>
      </c>
      <c r="G6" s="251" t="s">
        <v>58</v>
      </c>
      <c r="H6" s="252" t="e">
        <f>#REF!</f>
        <v>#REF!</v>
      </c>
      <c r="I6" s="251" t="s">
        <v>59</v>
      </c>
      <c r="J6" s="253" t="e">
        <f>D6-F6+H6</f>
        <v>#REF!</v>
      </c>
      <c r="K6" s="254" t="s">
        <v>45</v>
      </c>
      <c r="L6" s="253"/>
    </row>
    <row r="7" spans="1:15" ht="18.75" customHeight="1" x14ac:dyDescent="0.15">
      <c r="B7" s="1193" t="s">
        <v>67</v>
      </c>
      <c r="C7" s="1194"/>
      <c r="D7" s="17" t="e">
        <f>'事業費B(還付・工事費減)'!H52</f>
        <v>#REF!</v>
      </c>
      <c r="E7" s="251" t="s">
        <v>68</v>
      </c>
      <c r="F7" s="17" t="e">
        <f>'事業費B(還付・工事費減)'!O52</f>
        <v>#REF!</v>
      </c>
      <c r="G7" s="251" t="s">
        <v>58</v>
      </c>
      <c r="H7" s="255" t="e">
        <f>#REF!</f>
        <v>#REF!</v>
      </c>
      <c r="I7" s="251" t="s">
        <v>59</v>
      </c>
      <c r="J7" s="253" t="e">
        <f>D7-F7+H7</f>
        <v>#REF!</v>
      </c>
      <c r="K7" s="254" t="s">
        <v>45</v>
      </c>
      <c r="L7" s="253"/>
    </row>
    <row r="8" spans="1:15" ht="6.95" customHeight="1" x14ac:dyDescent="0.15">
      <c r="B8" s="256"/>
      <c r="C8" s="27"/>
      <c r="D8" s="257"/>
      <c r="E8" s="258"/>
      <c r="F8" s="257"/>
      <c r="G8" s="258"/>
      <c r="H8" s="258"/>
      <c r="I8" s="258"/>
      <c r="J8" s="259"/>
      <c r="K8" s="260"/>
      <c r="L8" s="253"/>
    </row>
    <row r="9" spans="1:15" ht="15" customHeight="1" x14ac:dyDescent="0.15"/>
    <row r="10" spans="1:15" ht="15" customHeight="1" thickBot="1" x14ac:dyDescent="0.2">
      <c r="B10" s="14" t="s">
        <v>60</v>
      </c>
      <c r="O10" s="261"/>
    </row>
    <row r="11" spans="1:15" ht="15" customHeight="1" x14ac:dyDescent="0.15">
      <c r="B11" s="1195"/>
      <c r="C11" s="1196"/>
      <c r="D11" s="53" t="s">
        <v>108</v>
      </c>
      <c r="E11" s="280" t="s">
        <v>119</v>
      </c>
      <c r="F11" s="285" t="s">
        <v>27</v>
      </c>
      <c r="G11" s="65" t="s">
        <v>110</v>
      </c>
      <c r="H11" s="1199" t="s">
        <v>54</v>
      </c>
    </row>
    <row r="12" spans="1:15" ht="15" customHeight="1" thickBot="1" x14ac:dyDescent="0.2">
      <c r="B12" s="1197"/>
      <c r="C12" s="1198"/>
      <c r="D12" s="54"/>
      <c r="E12" s="88"/>
      <c r="F12" s="274"/>
      <c r="G12" s="66"/>
      <c r="H12" s="1200"/>
    </row>
    <row r="13" spans="1:15" ht="15" customHeight="1" thickTop="1" x14ac:dyDescent="0.15">
      <c r="B13" s="42"/>
      <c r="C13" s="36" t="s">
        <v>83</v>
      </c>
      <c r="D13" s="55" t="e">
        <f>#REF!</f>
        <v>#REF!</v>
      </c>
      <c r="E13" s="281" t="e">
        <f>#REF!</f>
        <v>#REF!</v>
      </c>
      <c r="F13" s="275" t="e">
        <f>#REF!</f>
        <v>#REF!</v>
      </c>
      <c r="G13" s="67" t="e">
        <f>#REF!</f>
        <v>#REF!</v>
      </c>
      <c r="H13" s="41" t="e">
        <f>SUM(D13:G13)</f>
        <v>#REF!</v>
      </c>
    </row>
    <row r="14" spans="1:15" ht="15" customHeight="1" x14ac:dyDescent="0.15">
      <c r="B14" s="42"/>
      <c r="C14" s="36" t="s">
        <v>46</v>
      </c>
      <c r="D14" s="56" t="e">
        <f>D15/D13</f>
        <v>#REF!</v>
      </c>
      <c r="E14" s="282" t="e">
        <f>E15/E13</f>
        <v>#REF!</v>
      </c>
      <c r="F14" s="286" t="e">
        <f>F15/F13</f>
        <v>#REF!</v>
      </c>
      <c r="G14" s="68" t="e">
        <f>G15/G13</f>
        <v>#REF!</v>
      </c>
      <c r="H14" s="43" t="e">
        <f>H15/H13</f>
        <v>#REF!</v>
      </c>
    </row>
    <row r="15" spans="1:15" ht="15" customHeight="1" x14ac:dyDescent="0.15">
      <c r="B15" s="40"/>
      <c r="C15" s="35" t="s">
        <v>47</v>
      </c>
      <c r="D15" s="57" t="e">
        <f>#REF!</f>
        <v>#REF!</v>
      </c>
      <c r="E15" s="89" t="e">
        <f>#REF!</f>
        <v>#REF!</v>
      </c>
      <c r="F15" s="287" t="e">
        <f>#REF!</f>
        <v>#REF!</v>
      </c>
      <c r="G15" s="69" t="e">
        <f>#REF!+#REF!+#REF!</f>
        <v>#REF!</v>
      </c>
      <c r="H15" s="44" t="e">
        <f>SUM(D15:F15)</f>
        <v>#REF!</v>
      </c>
    </row>
    <row r="16" spans="1:15" ht="15" customHeight="1" x14ac:dyDescent="0.15">
      <c r="B16" s="1188" t="s">
        <v>48</v>
      </c>
      <c r="C16" s="388" t="s">
        <v>331</v>
      </c>
      <c r="D16" s="58">
        <v>100</v>
      </c>
      <c r="E16" s="776">
        <v>18.5</v>
      </c>
      <c r="F16" s="777">
        <v>18.5</v>
      </c>
      <c r="G16" s="70">
        <v>0</v>
      </c>
      <c r="H16" s="37"/>
    </row>
    <row r="17" spans="2:12" ht="15" customHeight="1" x14ac:dyDescent="0.15">
      <c r="B17" s="1189"/>
      <c r="C17" s="38" t="s">
        <v>57</v>
      </c>
      <c r="D17" s="59" t="e">
        <f>D15*D16</f>
        <v>#REF!</v>
      </c>
      <c r="E17" s="272" t="e">
        <f>E15*E16</f>
        <v>#REF!</v>
      </c>
      <c r="F17" s="279" t="e">
        <f>F15*F16</f>
        <v>#REF!</v>
      </c>
      <c r="G17" s="71" t="e">
        <f>G16*G15</f>
        <v>#REF!</v>
      </c>
      <c r="H17" s="45" t="e">
        <f>SUM(D17:F17)</f>
        <v>#REF!</v>
      </c>
    </row>
    <row r="18" spans="2:12" ht="15" customHeight="1" x14ac:dyDescent="0.15">
      <c r="B18" s="1189"/>
      <c r="C18" s="38" t="s">
        <v>82</v>
      </c>
      <c r="D18" s="60" t="e">
        <f>D17/$H$17</f>
        <v>#REF!</v>
      </c>
      <c r="E18" s="91" t="e">
        <f>E17/$H$17</f>
        <v>#REF!</v>
      </c>
      <c r="F18" s="288" t="e">
        <f>F17/$H$17</f>
        <v>#REF!</v>
      </c>
      <c r="G18" s="72" t="e">
        <f>G17/H17</f>
        <v>#REF!</v>
      </c>
      <c r="H18" s="46" t="e">
        <f>SUM(D18:F18)</f>
        <v>#REF!</v>
      </c>
    </row>
    <row r="19" spans="2:12" ht="15" customHeight="1" x14ac:dyDescent="0.15">
      <c r="B19" s="1189"/>
      <c r="C19" s="38" t="s">
        <v>49</v>
      </c>
      <c r="D19" s="59" t="e">
        <f>D18*$H$19</f>
        <v>#REF!</v>
      </c>
      <c r="E19" s="272" t="e">
        <f>E18*$H$19</f>
        <v>#REF!</v>
      </c>
      <c r="F19" s="279" t="e">
        <f>F18*$H$19</f>
        <v>#REF!</v>
      </c>
      <c r="G19" s="73" t="e">
        <f>G18*$H$19</f>
        <v>#REF!</v>
      </c>
      <c r="H19" s="47" t="e">
        <f>J6*1000</f>
        <v>#REF!</v>
      </c>
    </row>
    <row r="20" spans="2:12" ht="15" customHeight="1" x14ac:dyDescent="0.15">
      <c r="B20" s="1201"/>
      <c r="C20" s="39" t="s">
        <v>50</v>
      </c>
      <c r="D20" s="61" t="e">
        <f>D19/D15</f>
        <v>#REF!</v>
      </c>
      <c r="E20" s="283" t="e">
        <f>E19/E15</f>
        <v>#REF!</v>
      </c>
      <c r="F20" s="289" t="e">
        <f>F19/F15</f>
        <v>#REF!</v>
      </c>
      <c r="G20" s="74" t="str">
        <f>IF(ISERROR(G19/F15),"0",G19/F15)</f>
        <v>0</v>
      </c>
      <c r="H20" s="48" t="e">
        <f>H19/H15</f>
        <v>#REF!</v>
      </c>
    </row>
    <row r="21" spans="2:12" ht="15" customHeight="1" x14ac:dyDescent="0.15">
      <c r="B21" s="1188" t="s">
        <v>51</v>
      </c>
      <c r="C21" s="37" t="s">
        <v>81</v>
      </c>
      <c r="D21" s="62" t="e">
        <f>#REF!*0.3025*#REF!/1000+#REF!/3</f>
        <v>#REF!</v>
      </c>
      <c r="E21" s="284" t="e">
        <f>#REF!+(#REF!+#REF!)*0.3025*#REF!/1000+#REF!*2/3</f>
        <v>#REF!</v>
      </c>
      <c r="F21" s="290" t="e">
        <f>#REF!*0.3025*#REF!/1000+#REF!+#REF!</f>
        <v>#REF!</v>
      </c>
      <c r="G21" s="75">
        <v>0</v>
      </c>
      <c r="H21" s="49" t="e">
        <f>SUM(D21:G21)</f>
        <v>#REF!</v>
      </c>
    </row>
    <row r="22" spans="2:12" ht="15" customHeight="1" x14ac:dyDescent="0.15">
      <c r="B22" s="1189"/>
      <c r="C22" s="38" t="s">
        <v>52</v>
      </c>
      <c r="D22" s="60" t="e">
        <f>D21/$H$21</f>
        <v>#REF!</v>
      </c>
      <c r="E22" s="91" t="e">
        <f>E21/$H$21</f>
        <v>#REF!</v>
      </c>
      <c r="F22" s="276" t="e">
        <f>F21/$H$21</f>
        <v>#REF!</v>
      </c>
      <c r="G22" s="76" t="e">
        <f>G21/H21</f>
        <v>#REF!</v>
      </c>
      <c r="H22" s="46" t="e">
        <f>SUM(D22:G22)</f>
        <v>#REF!</v>
      </c>
    </row>
    <row r="23" spans="2:12" ht="15" customHeight="1" x14ac:dyDescent="0.15">
      <c r="B23" s="1189"/>
      <c r="C23" s="38" t="s">
        <v>53</v>
      </c>
      <c r="D23" s="59" t="e">
        <f>D22*$H$23</f>
        <v>#REF!</v>
      </c>
      <c r="E23" s="272" t="e">
        <f>E22*$H$23</f>
        <v>#REF!</v>
      </c>
      <c r="F23" s="279" t="e">
        <f>F22*$H$23</f>
        <v>#REF!</v>
      </c>
      <c r="G23" s="73" t="e">
        <f>G22*$H$23</f>
        <v>#REF!</v>
      </c>
      <c r="H23" s="47" t="e">
        <f>J7*1000</f>
        <v>#REF!</v>
      </c>
    </row>
    <row r="24" spans="2:12" ht="15" customHeight="1" thickBot="1" x14ac:dyDescent="0.2">
      <c r="B24" s="1189"/>
      <c r="C24" s="38" t="s">
        <v>50</v>
      </c>
      <c r="D24" s="59" t="e">
        <f>D23/D15</f>
        <v>#REF!</v>
      </c>
      <c r="E24" s="90" t="e">
        <f>E23/E15</f>
        <v>#REF!</v>
      </c>
      <c r="F24" s="279" t="e">
        <f>F23/F15</f>
        <v>#REF!</v>
      </c>
      <c r="G24" s="73" t="str">
        <f>IF(ISERROR(G23/F15),"0",G23/F15)</f>
        <v>0</v>
      </c>
      <c r="H24" s="45" t="e">
        <f>H23/H15</f>
        <v>#REF!</v>
      </c>
    </row>
    <row r="25" spans="2:12" ht="15" customHeight="1" x14ac:dyDescent="0.15">
      <c r="B25" s="1190" t="s">
        <v>54</v>
      </c>
      <c r="C25" s="271" t="s">
        <v>55</v>
      </c>
      <c r="D25" s="63" t="e">
        <f>D19+D23</f>
        <v>#REF!</v>
      </c>
      <c r="E25" s="92" t="e">
        <f>E19+E23</f>
        <v>#REF!</v>
      </c>
      <c r="F25" s="278" t="e">
        <f>F19+F23</f>
        <v>#REF!</v>
      </c>
      <c r="G25" s="77" t="e">
        <f>G19+G23</f>
        <v>#REF!</v>
      </c>
      <c r="H25" s="50" t="e">
        <f>SUM(D25:G25)</f>
        <v>#REF!</v>
      </c>
    </row>
    <row r="26" spans="2:12" ht="15" customHeight="1" x14ac:dyDescent="0.15">
      <c r="B26" s="1189"/>
      <c r="C26" s="38" t="s">
        <v>50</v>
      </c>
      <c r="D26" s="59" t="e">
        <f>D25/D15</f>
        <v>#REF!</v>
      </c>
      <c r="E26" s="272" t="e">
        <f>E25/E15</f>
        <v>#REF!</v>
      </c>
      <c r="F26" s="279" t="e">
        <f>F25/F15</f>
        <v>#REF!</v>
      </c>
      <c r="G26" s="73" t="str">
        <f>IF(ISERROR(G25/F15),"0",G25/F15)</f>
        <v>0</v>
      </c>
      <c r="H26" s="45" t="e">
        <f>H25/H15</f>
        <v>#REF!</v>
      </c>
    </row>
    <row r="27" spans="2:12" ht="15" customHeight="1" thickBot="1" x14ac:dyDescent="0.2">
      <c r="B27" s="1191"/>
      <c r="C27" s="51" t="s">
        <v>56</v>
      </c>
      <c r="D27" s="775" t="e">
        <f>D26/0.3025</f>
        <v>#REF!</v>
      </c>
      <c r="E27" s="273" t="e">
        <f>E26/0.3025</f>
        <v>#REF!</v>
      </c>
      <c r="F27" s="277" t="e">
        <f>F26/0.3025</f>
        <v>#REF!</v>
      </c>
      <c r="G27" s="78">
        <f>G26/0.3025</f>
        <v>0</v>
      </c>
      <c r="H27" s="52" t="e">
        <f>H26/0.3025</f>
        <v>#REF!</v>
      </c>
    </row>
    <row r="28" spans="2:12" ht="15" hidden="1" customHeight="1" x14ac:dyDescent="0.15">
      <c r="B28" s="665"/>
      <c r="C28" s="1"/>
      <c r="D28" s="667"/>
      <c r="E28" s="667"/>
      <c r="F28" s="667"/>
      <c r="G28" s="667"/>
      <c r="H28" s="666"/>
    </row>
    <row r="29" spans="2:12" ht="15" hidden="1" customHeight="1" thickBot="1" x14ac:dyDescent="0.2">
      <c r="B29" s="633" t="s">
        <v>392</v>
      </c>
      <c r="C29" s="1"/>
      <c r="D29" s="17"/>
      <c r="E29" s="17"/>
      <c r="F29" s="17"/>
      <c r="G29" s="17"/>
      <c r="H29" s="17"/>
    </row>
    <row r="30" spans="2:12" ht="15" hidden="1" customHeight="1" x14ac:dyDescent="0.15">
      <c r="B30" s="1190" t="s">
        <v>54</v>
      </c>
      <c r="C30" s="271" t="s">
        <v>55</v>
      </c>
      <c r="D30" s="63" t="e">
        <f>H30-E30-F30</f>
        <v>#REF!</v>
      </c>
      <c r="E30" s="92" t="e">
        <f>E31*E15</f>
        <v>#REF!</v>
      </c>
      <c r="F30" s="278" t="e">
        <f>F31*F15</f>
        <v>#REF!</v>
      </c>
      <c r="G30" s="77" t="e">
        <f>G23+G27</f>
        <v>#REF!</v>
      </c>
      <c r="H30" s="50" t="e">
        <f>H25</f>
        <v>#REF!</v>
      </c>
      <c r="J30" s="717"/>
    </row>
    <row r="31" spans="2:12" ht="15" hidden="1" customHeight="1" x14ac:dyDescent="0.15">
      <c r="B31" s="1189"/>
      <c r="C31" s="38" t="s">
        <v>50</v>
      </c>
      <c r="D31" s="59" t="e">
        <f>D30/D15</f>
        <v>#REF!</v>
      </c>
      <c r="E31" s="272">
        <f>E32*0.3025</f>
        <v>544.5</v>
      </c>
      <c r="F31" s="279">
        <f>F32*0.3025</f>
        <v>605</v>
      </c>
      <c r="G31" s="73" t="str">
        <f>IF(ISERROR(G30/F19),"0",G30/F19)</f>
        <v>0</v>
      </c>
      <c r="H31" s="45" t="e">
        <f>H30/H15</f>
        <v>#REF!</v>
      </c>
    </row>
    <row r="32" spans="2:12" ht="15" hidden="1" customHeight="1" thickBot="1" x14ac:dyDescent="0.2">
      <c r="B32" s="1191"/>
      <c r="C32" s="51" t="s">
        <v>56</v>
      </c>
      <c r="D32" s="64" t="e">
        <f>D31/0.3025</f>
        <v>#REF!</v>
      </c>
      <c r="E32" s="273">
        <v>1800</v>
      </c>
      <c r="F32" s="277">
        <v>2000</v>
      </c>
      <c r="G32" s="78">
        <f>G31/0.3025</f>
        <v>0</v>
      </c>
      <c r="H32" s="52" t="e">
        <f>H31/0.3025</f>
        <v>#REF!</v>
      </c>
      <c r="I32" s="1"/>
      <c r="J32" s="1"/>
      <c r="K32" s="1"/>
      <c r="L32" s="1"/>
    </row>
    <row r="33" spans="2:12" ht="15" customHeight="1" x14ac:dyDescent="0.15">
      <c r="B33" s="665"/>
      <c r="C33" s="1"/>
      <c r="D33" s="667"/>
      <c r="E33" s="667"/>
      <c r="F33" s="667"/>
      <c r="G33" s="667"/>
      <c r="H33" s="666"/>
      <c r="I33" s="1"/>
      <c r="J33" s="1"/>
      <c r="K33" s="1"/>
      <c r="L33" s="1"/>
    </row>
    <row r="34" spans="2:12" ht="15" customHeight="1" x14ac:dyDescent="0.15">
      <c r="B34" s="14" t="s">
        <v>384</v>
      </c>
    </row>
    <row r="35" spans="2:12" ht="15" customHeight="1" thickBot="1" x14ac:dyDescent="0.2">
      <c r="B35" s="705"/>
      <c r="C35" s="705" t="s">
        <v>385</v>
      </c>
      <c r="F35" s="705" t="s">
        <v>386</v>
      </c>
      <c r="H35" s="13"/>
      <c r="I35" s="705" t="s">
        <v>387</v>
      </c>
    </row>
    <row r="36" spans="2:12" ht="15" customHeight="1" x14ac:dyDescent="0.15">
      <c r="B36" s="1192" t="s">
        <v>388</v>
      </c>
      <c r="C36" s="1192"/>
      <c r="E36" s="1192" t="s">
        <v>389</v>
      </c>
      <c r="F36" s="1192"/>
      <c r="H36" s="1180" t="s">
        <v>391</v>
      </c>
      <c r="I36" s="1180"/>
      <c r="K36" s="1181" t="s">
        <v>390</v>
      </c>
      <c r="L36" s="1182"/>
    </row>
    <row r="37" spans="2:12" ht="15" customHeight="1" thickBot="1" x14ac:dyDescent="0.2">
      <c r="B37" s="1183">
        <v>15</v>
      </c>
      <c r="C37" s="1183"/>
      <c r="D37" s="32" t="s">
        <v>104</v>
      </c>
      <c r="E37" s="1184">
        <v>12</v>
      </c>
      <c r="F37" s="1184"/>
      <c r="G37" s="32" t="s">
        <v>109</v>
      </c>
      <c r="H37" s="1185" t="e">
        <f>D27</f>
        <v>#REF!</v>
      </c>
      <c r="I37" s="1184"/>
      <c r="J37" s="32" t="s">
        <v>75</v>
      </c>
      <c r="K37" s="1186" t="e">
        <f>B37*E37/H37</f>
        <v>#REF!</v>
      </c>
      <c r="L37" s="1187"/>
    </row>
    <row r="38" spans="2:12" ht="15" customHeight="1" x14ac:dyDescent="0.15">
      <c r="B38" s="714"/>
      <c r="C38" s="714"/>
      <c r="D38" s="32"/>
      <c r="E38" s="23"/>
      <c r="F38" s="23"/>
      <c r="G38" s="32"/>
      <c r="H38" s="715"/>
      <c r="I38" s="23"/>
      <c r="J38" s="32"/>
      <c r="K38" s="716"/>
      <c r="L38" s="716"/>
    </row>
    <row r="39" spans="2:12" ht="15" customHeight="1" x14ac:dyDescent="0.15">
      <c r="B39" s="14" t="s">
        <v>393</v>
      </c>
      <c r="C39" s="1"/>
      <c r="D39" s="1"/>
      <c r="E39" s="1"/>
      <c r="F39" s="1"/>
      <c r="G39" s="1"/>
      <c r="H39" s="1"/>
      <c r="I39" s="1"/>
      <c r="J39" s="1"/>
      <c r="K39" s="1"/>
      <c r="L39" s="1"/>
    </row>
    <row r="40" spans="2:12" ht="6.95" customHeight="1" x14ac:dyDescent="0.15">
      <c r="B40" s="270"/>
      <c r="C40" s="262"/>
      <c r="D40" s="262"/>
      <c r="E40" s="262"/>
      <c r="F40" s="262"/>
      <c r="G40" s="262"/>
      <c r="H40" s="262"/>
      <c r="I40" s="262"/>
      <c r="J40" s="262"/>
      <c r="K40" s="263"/>
      <c r="L40" s="13"/>
    </row>
    <row r="41" spans="2:12" ht="15" customHeight="1" x14ac:dyDescent="0.15">
      <c r="B41" s="22"/>
      <c r="C41" s="13" t="s">
        <v>69</v>
      </c>
      <c r="D41" s="13"/>
      <c r="E41" s="13"/>
      <c r="F41" s="13"/>
      <c r="G41" s="13"/>
      <c r="H41" s="13"/>
      <c r="I41" s="13"/>
      <c r="J41" s="13"/>
      <c r="K41" s="264"/>
      <c r="L41" s="13"/>
    </row>
    <row r="42" spans="2:12" ht="15" customHeight="1" x14ac:dyDescent="0.15">
      <c r="B42" s="22"/>
      <c r="C42" s="13" t="s">
        <v>70</v>
      </c>
      <c r="D42" s="13"/>
      <c r="E42" s="13"/>
      <c r="F42" s="13"/>
      <c r="G42" s="13"/>
      <c r="H42" s="13"/>
      <c r="I42" s="13"/>
      <c r="J42" s="660" t="e">
        <f>'事業費B(還付・工事費減)'!E52</f>
        <v>#REF!</v>
      </c>
      <c r="K42" s="266" t="s">
        <v>45</v>
      </c>
      <c r="L42" s="265"/>
    </row>
    <row r="43" spans="2:12" ht="15" customHeight="1" x14ac:dyDescent="0.15">
      <c r="B43" s="22"/>
      <c r="C43" s="13" t="s">
        <v>71</v>
      </c>
      <c r="D43" s="13"/>
      <c r="E43" s="13"/>
      <c r="F43" s="13"/>
      <c r="G43" s="13"/>
      <c r="H43" s="13"/>
      <c r="I43" s="13"/>
      <c r="J43" s="13"/>
      <c r="K43" s="264"/>
      <c r="L43" s="13"/>
    </row>
    <row r="44" spans="2:12" ht="15" customHeight="1" x14ac:dyDescent="0.15">
      <c r="B44" s="22"/>
      <c r="C44" s="13" t="s">
        <v>72</v>
      </c>
      <c r="D44" s="13"/>
      <c r="E44" s="13"/>
      <c r="F44" s="13"/>
      <c r="G44" s="13"/>
      <c r="H44" s="13"/>
      <c r="I44" s="13"/>
      <c r="J44" s="660" t="e">
        <f>'事業費B(還付・工事費減)'!L52</f>
        <v>#REF!</v>
      </c>
      <c r="K44" s="266" t="s">
        <v>45</v>
      </c>
      <c r="L44" s="265"/>
    </row>
    <row r="45" spans="2:12" ht="15" customHeight="1" x14ac:dyDescent="0.15">
      <c r="B45" s="22"/>
      <c r="C45" s="13" t="s">
        <v>76</v>
      </c>
      <c r="D45" s="13" t="s">
        <v>77</v>
      </c>
      <c r="E45" s="13"/>
      <c r="F45" s="13"/>
      <c r="G45" s="13"/>
      <c r="H45" s="13"/>
      <c r="I45" s="13"/>
      <c r="J45" s="660"/>
      <c r="K45" s="266"/>
      <c r="L45" s="265"/>
    </row>
    <row r="46" spans="2:12" ht="15" customHeight="1" x14ac:dyDescent="0.15">
      <c r="B46" s="22"/>
      <c r="C46" s="13"/>
      <c r="D46" s="1175" t="e">
        <f>J42</f>
        <v>#REF!</v>
      </c>
      <c r="E46" s="1175"/>
      <c r="F46" s="23" t="s">
        <v>74</v>
      </c>
      <c r="G46" s="1176" t="e">
        <f>J44</f>
        <v>#REF!</v>
      </c>
      <c r="H46" s="1176"/>
      <c r="I46" s="23" t="s">
        <v>75</v>
      </c>
      <c r="J46" s="660" t="e">
        <f>D46-G46</f>
        <v>#REF!</v>
      </c>
      <c r="K46" s="266" t="s">
        <v>45</v>
      </c>
      <c r="L46" s="265"/>
    </row>
    <row r="47" spans="2:12" ht="15" customHeight="1" x14ac:dyDescent="0.15">
      <c r="B47" s="22"/>
      <c r="C47" s="694" t="s">
        <v>79</v>
      </c>
      <c r="D47" s="695" t="s">
        <v>80</v>
      </c>
      <c r="E47" s="696"/>
      <c r="F47" s="697"/>
      <c r="G47" s="698"/>
      <c r="H47" s="698"/>
      <c r="I47" s="697"/>
      <c r="J47" s="693"/>
      <c r="K47" s="268"/>
      <c r="L47" s="267"/>
    </row>
    <row r="48" spans="2:12" ht="15" customHeight="1" x14ac:dyDescent="0.15">
      <c r="B48" s="22"/>
      <c r="C48" s="694"/>
      <c r="D48" s="1177" t="e">
        <f>J46</f>
        <v>#REF!</v>
      </c>
      <c r="E48" s="1177"/>
      <c r="F48" s="697" t="s">
        <v>78</v>
      </c>
      <c r="G48" s="1178" t="e">
        <f>H6+H7</f>
        <v>#REF!</v>
      </c>
      <c r="H48" s="1178"/>
      <c r="I48" s="697" t="s">
        <v>75</v>
      </c>
      <c r="J48" s="693" t="e">
        <f>D48+G48</f>
        <v>#REF!</v>
      </c>
      <c r="K48" s="268" t="s">
        <v>45</v>
      </c>
      <c r="L48" s="267"/>
    </row>
    <row r="49" spans="2:12" ht="6.95" customHeight="1" x14ac:dyDescent="0.15">
      <c r="B49" s="132"/>
      <c r="C49" s="699"/>
      <c r="D49" s="700"/>
      <c r="E49" s="700"/>
      <c r="F49" s="701"/>
      <c r="G49" s="702"/>
      <c r="H49" s="702"/>
      <c r="I49" s="701"/>
      <c r="J49" s="703"/>
      <c r="K49" s="704"/>
      <c r="L49" s="267"/>
    </row>
    <row r="50" spans="2:12" ht="7.5" customHeight="1" x14ac:dyDescent="0.15">
      <c r="B50" s="269"/>
      <c r="C50" s="269"/>
      <c r="D50" s="269"/>
      <c r="E50" s="269"/>
      <c r="F50" s="269"/>
      <c r="G50" s="269"/>
      <c r="H50" s="269"/>
      <c r="I50" s="269"/>
      <c r="J50" s="269"/>
      <c r="K50" s="269"/>
      <c r="L50" s="14"/>
    </row>
    <row r="51" spans="2:12" x14ac:dyDescent="0.15">
      <c r="C51" s="14"/>
      <c r="D51" s="14"/>
      <c r="E51" s="14"/>
      <c r="F51" s="14"/>
      <c r="G51" s="14"/>
      <c r="H51" s="14"/>
      <c r="I51" s="14"/>
      <c r="J51" s="14"/>
      <c r="K51" s="14"/>
      <c r="L51" s="14"/>
    </row>
    <row r="52" spans="2:12" ht="13.5" customHeight="1" x14ac:dyDescent="0.15">
      <c r="B52" s="1169"/>
      <c r="C52" s="1169"/>
      <c r="D52" s="1169"/>
      <c r="E52" s="1179"/>
      <c r="F52" s="1170"/>
      <c r="G52" s="1170"/>
      <c r="H52" s="1169"/>
      <c r="I52" s="1169"/>
      <c r="J52" s="23"/>
    </row>
    <row r="53" spans="2:12" x14ac:dyDescent="0.15">
      <c r="B53" s="1169"/>
      <c r="C53" s="1169"/>
      <c r="D53" s="1169"/>
      <c r="E53" s="1169"/>
      <c r="F53" s="659"/>
      <c r="G53" s="659"/>
      <c r="H53" s="23"/>
      <c r="I53" s="23"/>
      <c r="J53" s="23"/>
    </row>
    <row r="54" spans="2:12" x14ac:dyDescent="0.15">
      <c r="B54" s="1172"/>
      <c r="C54" s="1172"/>
      <c r="D54" s="668"/>
      <c r="E54" s="669"/>
      <c r="F54" s="670"/>
      <c r="G54" s="670"/>
      <c r="H54" s="669"/>
      <c r="I54" s="669"/>
      <c r="J54" s="671"/>
    </row>
    <row r="55" spans="2:12" x14ac:dyDescent="0.15">
      <c r="B55" s="1173"/>
      <c r="C55" s="1173"/>
      <c r="D55" s="672"/>
      <c r="E55" s="673"/>
      <c r="F55" s="674"/>
      <c r="G55" s="674"/>
      <c r="H55" s="673"/>
      <c r="I55" s="673"/>
      <c r="J55" s="675"/>
    </row>
    <row r="56" spans="2:12" x14ac:dyDescent="0.15">
      <c r="B56" s="1174"/>
      <c r="C56" s="1174"/>
      <c r="D56" s="676"/>
      <c r="E56" s="677"/>
      <c r="F56" s="678"/>
      <c r="G56" s="678"/>
      <c r="H56" s="677"/>
      <c r="I56" s="677"/>
      <c r="J56" s="679"/>
    </row>
    <row r="57" spans="2:12" x14ac:dyDescent="0.15">
      <c r="B57" s="1169"/>
      <c r="C57" s="1169"/>
      <c r="D57" s="1169"/>
      <c r="E57" s="643"/>
      <c r="F57" s="664"/>
      <c r="G57" s="664"/>
      <c r="H57" s="643"/>
      <c r="I57" s="643"/>
      <c r="J57" s="13"/>
    </row>
    <row r="58" spans="2:12" x14ac:dyDescent="0.15">
      <c r="B58" s="1"/>
      <c r="D58" s="14"/>
      <c r="E58" s="24"/>
      <c r="F58" s="24"/>
      <c r="G58" s="14"/>
      <c r="H58" s="14"/>
      <c r="I58" s="14"/>
      <c r="J58" s="14"/>
      <c r="K58" s="28"/>
    </row>
    <row r="59" spans="2:12" x14ac:dyDescent="0.15">
      <c r="B59" s="1"/>
      <c r="D59" s="14"/>
      <c r="E59" s="24"/>
      <c r="F59" s="24"/>
      <c r="G59" s="14"/>
      <c r="H59" s="14"/>
      <c r="I59" s="14"/>
      <c r="J59" s="14"/>
      <c r="K59" s="28"/>
    </row>
    <row r="60" spans="2:12" x14ac:dyDescent="0.15">
      <c r="B60" s="1"/>
      <c r="D60" s="14"/>
      <c r="E60" s="24"/>
      <c r="F60" s="24"/>
      <c r="G60" s="14"/>
      <c r="H60" s="14"/>
      <c r="I60" s="14"/>
      <c r="J60" s="14"/>
      <c r="K60" s="28"/>
    </row>
    <row r="61" spans="2:12" x14ac:dyDescent="0.15">
      <c r="B61" s="1"/>
      <c r="D61" s="14"/>
      <c r="E61" s="24"/>
      <c r="F61" s="24"/>
      <c r="G61" s="14"/>
      <c r="H61" s="100"/>
      <c r="I61" s="14"/>
      <c r="J61" s="14"/>
      <c r="K61" s="28"/>
    </row>
    <row r="62" spans="2:12" x14ac:dyDescent="0.15">
      <c r="B62" s="1"/>
      <c r="D62" s="14"/>
      <c r="E62" s="24"/>
      <c r="F62" s="24"/>
      <c r="G62" s="14"/>
      <c r="H62" s="14"/>
      <c r="I62" s="14"/>
      <c r="J62" s="14"/>
      <c r="K62" s="28"/>
    </row>
    <row r="63" spans="2:12" x14ac:dyDescent="0.15">
      <c r="B63" s="1"/>
      <c r="D63" s="14"/>
      <c r="E63" s="24"/>
      <c r="F63" s="24"/>
      <c r="G63" s="14"/>
      <c r="H63" s="14"/>
      <c r="I63" s="14"/>
      <c r="J63" s="14"/>
      <c r="K63" s="28"/>
    </row>
    <row r="64" spans="2:12" x14ac:dyDescent="0.15">
      <c r="B64" s="13"/>
    </row>
    <row r="65" spans="2:14" x14ac:dyDescent="0.15">
      <c r="B65" s="1169"/>
      <c r="C65" s="1169"/>
      <c r="D65" s="1169"/>
      <c r="E65" s="1105"/>
      <c r="F65" s="1170"/>
      <c r="G65" s="1170"/>
      <c r="H65" s="1105"/>
      <c r="I65" s="1105"/>
      <c r="J65" s="1171"/>
      <c r="K65" s="1105"/>
      <c r="L65" s="1105"/>
      <c r="M65" s="1169"/>
    </row>
    <row r="66" spans="2:14" x14ac:dyDescent="0.15">
      <c r="B66" s="1169"/>
      <c r="C66" s="1169"/>
      <c r="D66" s="1169"/>
      <c r="E66" s="1105"/>
      <c r="F66" s="659"/>
      <c r="G66" s="659"/>
      <c r="H66" s="1105"/>
      <c r="I66" s="1105"/>
      <c r="J66" s="1105"/>
      <c r="M66" s="1169"/>
    </row>
    <row r="67" spans="2:14" x14ac:dyDescent="0.15">
      <c r="B67" s="1169"/>
      <c r="C67" s="1169"/>
      <c r="D67" s="23"/>
      <c r="F67" s="660"/>
      <c r="G67" s="660"/>
      <c r="H67" s="1105"/>
      <c r="I67" s="1105"/>
      <c r="J67" s="661"/>
      <c r="K67" s="661"/>
      <c r="L67" s="661"/>
      <c r="M67" s="662"/>
      <c r="N67" s="663"/>
    </row>
    <row r="68" spans="2:14" x14ac:dyDescent="0.15">
      <c r="B68" s="1169"/>
      <c r="C68" s="1169"/>
      <c r="D68" s="23"/>
      <c r="F68" s="660"/>
      <c r="G68" s="660"/>
      <c r="H68" s="1105"/>
      <c r="I68" s="1105"/>
      <c r="J68" s="661"/>
      <c r="K68" s="661"/>
      <c r="L68" s="661"/>
      <c r="M68" s="661"/>
    </row>
    <row r="69" spans="2:14" x14ac:dyDescent="0.15">
      <c r="B69" s="1169"/>
      <c r="C69" s="1169"/>
      <c r="D69" s="23"/>
      <c r="F69" s="660"/>
      <c r="G69" s="660"/>
      <c r="H69" s="1105"/>
      <c r="I69" s="1105"/>
      <c r="J69" s="661"/>
      <c r="K69" s="661"/>
      <c r="L69" s="661"/>
      <c r="M69" s="514"/>
    </row>
    <row r="70" spans="2:14" x14ac:dyDescent="0.15">
      <c r="B70" s="1169"/>
      <c r="C70" s="1169"/>
      <c r="D70" s="23"/>
      <c r="F70" s="660"/>
      <c r="G70" s="660"/>
      <c r="H70" s="1105"/>
      <c r="I70" s="1105"/>
      <c r="J70" s="661"/>
      <c r="K70" s="661"/>
      <c r="L70" s="661"/>
      <c r="M70" s="514"/>
    </row>
    <row r="71" spans="2:14" x14ac:dyDescent="0.15">
      <c r="B71" s="1169"/>
      <c r="C71" s="1169"/>
      <c r="D71" s="1169"/>
      <c r="F71" s="664"/>
      <c r="G71" s="664"/>
      <c r="H71" s="1105"/>
      <c r="I71" s="1105"/>
      <c r="J71" s="87"/>
      <c r="K71" s="661"/>
      <c r="L71" s="661"/>
    </row>
  </sheetData>
  <mergeCells count="53">
    <mergeCell ref="K1:M1"/>
    <mergeCell ref="B5:C5"/>
    <mergeCell ref="D5:E5"/>
    <mergeCell ref="F5:G5"/>
    <mergeCell ref="H5:I5"/>
    <mergeCell ref="J5:K5"/>
    <mergeCell ref="B6:C6"/>
    <mergeCell ref="B7:C7"/>
    <mergeCell ref="B11:C12"/>
    <mergeCell ref="H11:H12"/>
    <mergeCell ref="B16:B20"/>
    <mergeCell ref="B21:B24"/>
    <mergeCell ref="B25:B27"/>
    <mergeCell ref="B30:B32"/>
    <mergeCell ref="B36:C36"/>
    <mergeCell ref="E36:F36"/>
    <mergeCell ref="H36:I36"/>
    <mergeCell ref="K36:L36"/>
    <mergeCell ref="B37:C37"/>
    <mergeCell ref="E37:F37"/>
    <mergeCell ref="H37:I37"/>
    <mergeCell ref="K37:L37"/>
    <mergeCell ref="D46:E46"/>
    <mergeCell ref="G46:H46"/>
    <mergeCell ref="D48:E48"/>
    <mergeCell ref="G48:H48"/>
    <mergeCell ref="B52:C53"/>
    <mergeCell ref="D52:D53"/>
    <mergeCell ref="E52:E53"/>
    <mergeCell ref="F52:G52"/>
    <mergeCell ref="H52:I52"/>
    <mergeCell ref="B54:C54"/>
    <mergeCell ref="B55:C55"/>
    <mergeCell ref="B56:C56"/>
    <mergeCell ref="B57:D57"/>
    <mergeCell ref="B65:C66"/>
    <mergeCell ref="D65:D66"/>
    <mergeCell ref="M65:M66"/>
    <mergeCell ref="B70:C70"/>
    <mergeCell ref="H70:I70"/>
    <mergeCell ref="B71:D71"/>
    <mergeCell ref="H71:I71"/>
    <mergeCell ref="B67:C67"/>
    <mergeCell ref="H67:I67"/>
    <mergeCell ref="B68:C68"/>
    <mergeCell ref="H68:I68"/>
    <mergeCell ref="B69:C69"/>
    <mergeCell ref="H69:I69"/>
    <mergeCell ref="E65:E66"/>
    <mergeCell ref="F65:G65"/>
    <mergeCell ref="H65:I66"/>
    <mergeCell ref="J65:J66"/>
    <mergeCell ref="K65:L65"/>
  </mergeCells>
  <phoneticPr fontId="2"/>
  <pageMargins left="0.43307086614173229" right="0.23622047244094491"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pageSetUpPr fitToPage="1"/>
  </sheetPr>
  <dimension ref="A1:S60"/>
  <sheetViews>
    <sheetView workbookViewId="0"/>
  </sheetViews>
  <sheetFormatPr defaultColWidth="9" defaultRowHeight="10.5" x14ac:dyDescent="0.15"/>
  <cols>
    <col min="1" max="1" width="3.125" style="1" customWidth="1"/>
    <col min="2" max="2" width="20.5" style="1" customWidth="1"/>
    <col min="3" max="3" width="9.875" style="1" bestFit="1" customWidth="1"/>
    <col min="4" max="4" width="10.125" style="1" bestFit="1" customWidth="1"/>
    <col min="5" max="5" width="9.75" style="1" bestFit="1" customWidth="1"/>
    <col min="6" max="6" width="39" style="1" customWidth="1"/>
    <col min="7" max="7" width="9.125" style="1" customWidth="1"/>
    <col min="8" max="8" width="9.75" style="1" bestFit="1" customWidth="1"/>
    <col min="9" max="9" width="9" style="1" bestFit="1" customWidth="1"/>
    <col min="10" max="10" width="7.25" style="1" customWidth="1"/>
    <col min="11" max="11" width="5.125" style="1" customWidth="1"/>
    <col min="12" max="12" width="8.75" style="1" customWidth="1"/>
    <col min="13" max="13" width="27" style="1" customWidth="1"/>
    <col min="14" max="14" width="9.125" style="1" customWidth="1"/>
    <col min="15" max="15" width="9.25" style="1" customWidth="1"/>
    <col min="16" max="16" width="9.125" style="1" bestFit="1" customWidth="1"/>
    <col min="17" max="17" width="9.75" style="1" bestFit="1" customWidth="1"/>
    <col min="18" max="19" width="9.125" style="1" bestFit="1" customWidth="1"/>
    <col min="20" max="16384" width="9" style="1"/>
  </cols>
  <sheetData>
    <row r="1" spans="1:19" ht="17.25" customHeight="1" x14ac:dyDescent="0.15">
      <c r="A1" s="387" t="s">
        <v>429</v>
      </c>
      <c r="B1" s="406"/>
      <c r="C1" s="406"/>
      <c r="D1" s="406"/>
      <c r="E1" s="406"/>
      <c r="F1" s="406"/>
      <c r="G1" s="406"/>
      <c r="H1" s="406"/>
      <c r="I1" s="406"/>
      <c r="J1" s="406"/>
      <c r="K1" s="406"/>
      <c r="L1" s="406"/>
      <c r="M1" s="953">
        <f ca="1">TODAY()</f>
        <v>45398</v>
      </c>
      <c r="N1" s="953"/>
      <c r="O1" s="953"/>
    </row>
    <row r="2" spans="1:19" ht="3.75" customHeight="1" x14ac:dyDescent="0.15"/>
    <row r="3" spans="1:19" ht="14.25" customHeight="1" x14ac:dyDescent="0.15">
      <c r="A3" s="480"/>
      <c r="B3" s="1164" t="s">
        <v>155</v>
      </c>
      <c r="C3" s="1165"/>
      <c r="D3" s="1165"/>
      <c r="E3" s="1165"/>
      <c r="F3" s="1165"/>
      <c r="G3" s="1165"/>
      <c r="H3" s="1166"/>
      <c r="I3" s="1165" t="s">
        <v>156</v>
      </c>
      <c r="J3" s="1165"/>
      <c r="K3" s="1165"/>
      <c r="L3" s="1165"/>
      <c r="M3" s="1165"/>
      <c r="N3" s="1165"/>
      <c r="O3" s="1167"/>
      <c r="P3" s="1132" t="s">
        <v>157</v>
      </c>
      <c r="Q3" s="1168"/>
      <c r="R3" s="1168" t="s">
        <v>62</v>
      </c>
      <c r="S3" s="1168"/>
    </row>
    <row r="4" spans="1:19" ht="15" customHeight="1" thickBot="1" x14ac:dyDescent="0.2">
      <c r="A4" s="481"/>
      <c r="B4" s="134" t="s">
        <v>65</v>
      </c>
      <c r="C4" s="134" t="s">
        <v>4</v>
      </c>
      <c r="D4" s="134" t="s">
        <v>5</v>
      </c>
      <c r="E4" s="134" t="s">
        <v>6</v>
      </c>
      <c r="F4" s="135" t="s">
        <v>158</v>
      </c>
      <c r="G4" s="134" t="s">
        <v>48</v>
      </c>
      <c r="H4" s="135" t="s">
        <v>51</v>
      </c>
      <c r="I4" s="136" t="s">
        <v>159</v>
      </c>
      <c r="J4" s="134" t="s">
        <v>39</v>
      </c>
      <c r="K4" s="749" t="s">
        <v>352</v>
      </c>
      <c r="L4" s="134" t="s">
        <v>40</v>
      </c>
      <c r="M4" s="135" t="s">
        <v>158</v>
      </c>
      <c r="N4" s="134" t="s">
        <v>48</v>
      </c>
      <c r="O4" s="134" t="s">
        <v>51</v>
      </c>
      <c r="P4" s="2" t="s">
        <v>48</v>
      </c>
      <c r="Q4" s="2" t="s">
        <v>51</v>
      </c>
      <c r="R4" s="2" t="s">
        <v>48</v>
      </c>
      <c r="S4" s="2" t="s">
        <v>51</v>
      </c>
    </row>
    <row r="5" spans="1:19" ht="15" customHeight="1" thickTop="1" x14ac:dyDescent="0.15">
      <c r="A5" s="904" t="s">
        <v>0</v>
      </c>
      <c r="B5" s="137" t="s">
        <v>3</v>
      </c>
      <c r="C5" s="138"/>
      <c r="D5" s="718"/>
      <c r="E5" s="719">
        <f>20+84</f>
        <v>104</v>
      </c>
      <c r="F5" s="140" t="s">
        <v>380</v>
      </c>
      <c r="G5" s="141" t="e">
        <f>E5*$P$6</f>
        <v>#REF!</v>
      </c>
      <c r="H5" s="142" t="e">
        <f>E5*$Q$6</f>
        <v>#REF!</v>
      </c>
      <c r="I5" s="143">
        <f t="shared" ref="I5:I10" si="0">E5</f>
        <v>104</v>
      </c>
      <c r="J5" s="144">
        <v>0.66666666666666663</v>
      </c>
      <c r="K5" s="744">
        <v>1</v>
      </c>
      <c r="L5" s="139">
        <f t="shared" ref="L5:L10" si="1">I5*J5*K5</f>
        <v>69.333333333333329</v>
      </c>
      <c r="M5" s="140"/>
      <c r="N5" s="141" t="e">
        <f>L5*$P$6</f>
        <v>#REF!</v>
      </c>
      <c r="O5" s="141" t="e">
        <f>L5*$Q$6</f>
        <v>#REF!</v>
      </c>
      <c r="P5" s="12" t="e">
        <f>SUM(G19,G30,G43)</f>
        <v>#REF!</v>
      </c>
      <c r="Q5" s="12" t="e">
        <f>SUM(H6:H9,H19,H30,H43)</f>
        <v>#REF!</v>
      </c>
      <c r="R5" s="12" t="e">
        <f>SUM(N19,N30,N43)</f>
        <v>#REF!</v>
      </c>
      <c r="S5" s="12" t="e">
        <f>SUM(O6:O8,O19,O30,O43)</f>
        <v>#REF!</v>
      </c>
    </row>
    <row r="6" spans="1:19" ht="15" customHeight="1" x14ac:dyDescent="0.15">
      <c r="A6" s="905"/>
      <c r="B6" s="146" t="s">
        <v>7</v>
      </c>
      <c r="C6" s="147"/>
      <c r="D6" s="720"/>
      <c r="E6" s="721" t="e">
        <f>#REF!/1000</f>
        <v>#REF!</v>
      </c>
      <c r="F6" s="148" t="s">
        <v>350</v>
      </c>
      <c r="G6" s="149"/>
      <c r="H6" s="150" t="e">
        <f>E6</f>
        <v>#REF!</v>
      </c>
      <c r="I6" s="151" t="e">
        <f t="shared" si="0"/>
        <v>#REF!</v>
      </c>
      <c r="J6" s="152">
        <f>$J$5</f>
        <v>0.66666666666666663</v>
      </c>
      <c r="K6" s="745">
        <f>$K$5</f>
        <v>1</v>
      </c>
      <c r="L6" s="147" t="e">
        <f t="shared" si="1"/>
        <v>#REF!</v>
      </c>
      <c r="M6" s="148"/>
      <c r="N6" s="149"/>
      <c r="O6" s="149" t="e">
        <f>L6</f>
        <v>#REF!</v>
      </c>
      <c r="P6" s="154" t="e">
        <f>P5/(P5+Q5)</f>
        <v>#REF!</v>
      </c>
      <c r="Q6" s="154" t="e">
        <f>1-P6</f>
        <v>#REF!</v>
      </c>
      <c r="R6" s="154" t="e">
        <f>R5/(R5+S5)</f>
        <v>#REF!</v>
      </c>
      <c r="S6" s="154" t="e">
        <f>1-R6</f>
        <v>#REF!</v>
      </c>
    </row>
    <row r="7" spans="1:19" ht="15" customHeight="1" x14ac:dyDescent="0.15">
      <c r="A7" s="905"/>
      <c r="B7" s="146" t="s">
        <v>8</v>
      </c>
      <c r="C7" s="155">
        <v>4</v>
      </c>
      <c r="D7" s="722">
        <v>1500</v>
      </c>
      <c r="E7" s="721">
        <f>C7*D7/1000</f>
        <v>6</v>
      </c>
      <c r="F7" s="148" t="s">
        <v>113</v>
      </c>
      <c r="G7" s="149"/>
      <c r="H7" s="150">
        <f>E7</f>
        <v>6</v>
      </c>
      <c r="I7" s="151">
        <f t="shared" si="0"/>
        <v>6</v>
      </c>
      <c r="J7" s="152">
        <f>$J$5</f>
        <v>0.66666666666666663</v>
      </c>
      <c r="K7" s="745">
        <f>$K$5</f>
        <v>1</v>
      </c>
      <c r="L7" s="147">
        <f t="shared" si="1"/>
        <v>4</v>
      </c>
      <c r="M7" s="148"/>
      <c r="N7" s="149"/>
      <c r="O7" s="149">
        <f>L7</f>
        <v>4</v>
      </c>
    </row>
    <row r="8" spans="1:19" ht="15" customHeight="1" x14ac:dyDescent="0.15">
      <c r="A8" s="905"/>
      <c r="B8" s="146" t="s">
        <v>9</v>
      </c>
      <c r="C8" s="147"/>
      <c r="D8" s="720"/>
      <c r="E8" s="721" t="e">
        <f>#REF!/1000</f>
        <v>#REF!</v>
      </c>
      <c r="F8" s="148" t="s">
        <v>350</v>
      </c>
      <c r="G8" s="149"/>
      <c r="H8" s="150" t="e">
        <f>E8</f>
        <v>#REF!</v>
      </c>
      <c r="I8" s="151" t="e">
        <f t="shared" si="0"/>
        <v>#REF!</v>
      </c>
      <c r="J8" s="152">
        <f>$J$5</f>
        <v>0.66666666666666663</v>
      </c>
      <c r="K8" s="745">
        <f>$K$5</f>
        <v>1</v>
      </c>
      <c r="L8" s="147" t="e">
        <f t="shared" si="1"/>
        <v>#REF!</v>
      </c>
      <c r="M8" s="148"/>
      <c r="N8" s="149"/>
      <c r="O8" s="149" t="e">
        <f>L8</f>
        <v>#REF!</v>
      </c>
    </row>
    <row r="9" spans="1:19" ht="15" customHeight="1" x14ac:dyDescent="0.15">
      <c r="A9" s="905"/>
      <c r="B9" s="146" t="s">
        <v>330</v>
      </c>
      <c r="C9" s="147"/>
      <c r="D9" s="720"/>
      <c r="E9" s="721" t="e">
        <f>'監理料(告示98号）'!T85/1000</f>
        <v>#REF!</v>
      </c>
      <c r="F9" s="148" t="s">
        <v>350</v>
      </c>
      <c r="G9" s="149"/>
      <c r="H9" s="150" t="e">
        <f>E9</f>
        <v>#REF!</v>
      </c>
      <c r="I9" s="151" t="e">
        <f t="shared" si="0"/>
        <v>#REF!</v>
      </c>
      <c r="J9" s="152">
        <f>$J$5</f>
        <v>0.66666666666666663</v>
      </c>
      <c r="K9" s="745">
        <f>$K$5</f>
        <v>1</v>
      </c>
      <c r="L9" s="147" t="e">
        <f t="shared" si="1"/>
        <v>#REF!</v>
      </c>
      <c r="M9" s="148"/>
      <c r="N9" s="149"/>
      <c r="O9" s="149" t="e">
        <f>L9</f>
        <v>#REF!</v>
      </c>
    </row>
    <row r="10" spans="1:19" ht="15" customHeight="1" x14ac:dyDescent="0.15">
      <c r="A10" s="905"/>
      <c r="B10" s="146" t="s">
        <v>10</v>
      </c>
      <c r="C10" s="156" t="e">
        <f>#REF!</f>
        <v>#REF!</v>
      </c>
      <c r="D10" s="157">
        <v>25</v>
      </c>
      <c r="E10" s="721" t="e">
        <f>C10*D10/1000</f>
        <v>#REF!</v>
      </c>
      <c r="F10" s="148" t="s">
        <v>115</v>
      </c>
      <c r="G10" s="149" t="e">
        <f>E10*$P$6</f>
        <v>#REF!</v>
      </c>
      <c r="H10" s="150" t="e">
        <f>E10*$Q$6</f>
        <v>#REF!</v>
      </c>
      <c r="I10" s="151" t="e">
        <f t="shared" si="0"/>
        <v>#REF!</v>
      </c>
      <c r="J10" s="152">
        <f>$J$5</f>
        <v>0.66666666666666663</v>
      </c>
      <c r="K10" s="745">
        <f>$K$5</f>
        <v>1</v>
      </c>
      <c r="L10" s="147" t="e">
        <f t="shared" si="1"/>
        <v>#REF!</v>
      </c>
      <c r="M10" s="148"/>
      <c r="N10" s="149" t="e">
        <f>L10*$P$6</f>
        <v>#REF!</v>
      </c>
      <c r="O10" s="149" t="e">
        <f>L10*$Q$6</f>
        <v>#REF!</v>
      </c>
    </row>
    <row r="11" spans="1:19" ht="15" customHeight="1" x14ac:dyDescent="0.15">
      <c r="A11" s="905"/>
      <c r="B11" s="146" t="s">
        <v>11</v>
      </c>
      <c r="C11" s="156" t="e">
        <f>#REF!</f>
        <v>#REF!</v>
      </c>
      <c r="D11" s="157">
        <v>5</v>
      </c>
      <c r="E11" s="147" t="e">
        <f>C11*D11/1000</f>
        <v>#REF!</v>
      </c>
      <c r="F11" s="148" t="s">
        <v>115</v>
      </c>
      <c r="G11" s="149" t="e">
        <f>E11*$P$6</f>
        <v>#REF!</v>
      </c>
      <c r="H11" s="150" t="e">
        <f>E11*$Q$6</f>
        <v>#REF!</v>
      </c>
      <c r="I11" s="151">
        <v>0</v>
      </c>
      <c r="J11" s="152"/>
      <c r="K11" s="745"/>
      <c r="L11" s="147"/>
      <c r="M11" s="148"/>
      <c r="N11" s="149"/>
      <c r="O11" s="149"/>
    </row>
    <row r="12" spans="1:19" ht="15" customHeight="1" x14ac:dyDescent="0.15">
      <c r="A12" s="905"/>
      <c r="B12" s="158" t="s">
        <v>127</v>
      </c>
      <c r="C12" s="159" t="e">
        <f>SUM(E5:E11)</f>
        <v>#REF!</v>
      </c>
      <c r="D12" s="160">
        <v>0.1</v>
      </c>
      <c r="E12" s="159" t="e">
        <f>C12*D12</f>
        <v>#REF!</v>
      </c>
      <c r="F12" s="161"/>
      <c r="G12" s="162" t="e">
        <f>SUM(G5:G11)*$D$12</f>
        <v>#REF!</v>
      </c>
      <c r="H12" s="163" t="e">
        <f>SUM(H5:H11)*$D$12</f>
        <v>#REF!</v>
      </c>
      <c r="I12" s="151">
        <v>0</v>
      </c>
      <c r="J12" s="165"/>
      <c r="K12" s="746"/>
      <c r="L12" s="159"/>
      <c r="M12" s="161"/>
      <c r="N12" s="162"/>
      <c r="O12" s="162"/>
    </row>
    <row r="13" spans="1:19" ht="15" customHeight="1" x14ac:dyDescent="0.15">
      <c r="A13" s="906"/>
      <c r="B13" s="9" t="s">
        <v>12</v>
      </c>
      <c r="C13" s="10"/>
      <c r="D13" s="9"/>
      <c r="E13" s="11" t="e">
        <f>SUM(E5:E12)</f>
        <v>#REF!</v>
      </c>
      <c r="F13" s="167"/>
      <c r="G13" s="168" t="e">
        <f>SUM(G5:G12)</f>
        <v>#REF!</v>
      </c>
      <c r="H13" s="169" t="e">
        <f>SUM(H5:H12)</f>
        <v>#REF!</v>
      </c>
      <c r="I13" s="170" t="e">
        <f>SUM(I5:I12)</f>
        <v>#REF!</v>
      </c>
      <c r="J13" s="171"/>
      <c r="K13" s="747"/>
      <c r="L13" s="11" t="e">
        <f>SUM(L5:L12)</f>
        <v>#REF!</v>
      </c>
      <c r="M13" s="167"/>
      <c r="N13" s="168" t="e">
        <f>SUM(N5:N12)</f>
        <v>#REF!</v>
      </c>
      <c r="O13" s="168" t="e">
        <f>SUM(O5:O12)</f>
        <v>#REF!</v>
      </c>
    </row>
    <row r="14" spans="1:19" ht="15" customHeight="1" x14ac:dyDescent="0.15">
      <c r="A14" s="904" t="s">
        <v>1</v>
      </c>
      <c r="B14" s="173" t="s">
        <v>160</v>
      </c>
      <c r="C14" s="174" t="e">
        <f>#REF!</f>
        <v>#REF!</v>
      </c>
      <c r="D14" s="175">
        <v>15</v>
      </c>
      <c r="E14" s="4" t="e">
        <f>C14*D14/1000</f>
        <v>#REF!</v>
      </c>
      <c r="F14" s="177" t="s">
        <v>177</v>
      </c>
      <c r="G14" s="193" t="e">
        <f>E14</f>
        <v>#REF!</v>
      </c>
      <c r="H14" s="179"/>
      <c r="I14" s="180" t="e">
        <f>E14</f>
        <v>#REF!</v>
      </c>
      <c r="J14" s="470" t="e">
        <f>#REF!</f>
        <v>#REF!</v>
      </c>
      <c r="K14" s="748">
        <f>$K$5</f>
        <v>1</v>
      </c>
      <c r="L14" s="176" t="e">
        <f>I14*J14*K14</f>
        <v>#REF!</v>
      </c>
      <c r="M14" s="177"/>
      <c r="N14" s="178" t="e">
        <f>L14</f>
        <v>#REF!</v>
      </c>
      <c r="O14" s="178"/>
    </row>
    <row r="15" spans="1:19" ht="15" customHeight="1" x14ac:dyDescent="0.15">
      <c r="A15" s="905"/>
      <c r="B15" s="146" t="s">
        <v>165</v>
      </c>
      <c r="C15" s="156" t="e">
        <f>#REF!</f>
        <v>#REF!</v>
      </c>
      <c r="D15" s="182">
        <v>15</v>
      </c>
      <c r="E15" s="147" t="e">
        <f>C15*D15/1000</f>
        <v>#REF!</v>
      </c>
      <c r="F15" s="148" t="s">
        <v>178</v>
      </c>
      <c r="G15" s="219" t="e">
        <f>E15</f>
        <v>#REF!</v>
      </c>
      <c r="H15" s="150"/>
      <c r="I15" s="151" t="e">
        <f>E15</f>
        <v>#REF!</v>
      </c>
      <c r="J15" s="471" t="e">
        <f>#REF!</f>
        <v>#REF!</v>
      </c>
      <c r="K15" s="745">
        <f>$K$5</f>
        <v>1</v>
      </c>
      <c r="L15" s="147" t="e">
        <f>I15*J15*K15</f>
        <v>#REF!</v>
      </c>
      <c r="M15" s="148"/>
      <c r="N15" s="149" t="e">
        <f>L15</f>
        <v>#REF!</v>
      </c>
      <c r="O15" s="149"/>
    </row>
    <row r="16" spans="1:19" ht="15" customHeight="1" x14ac:dyDescent="0.15">
      <c r="A16" s="905"/>
      <c r="B16" s="146" t="s">
        <v>166</v>
      </c>
      <c r="C16" s="156" t="e">
        <f>#REF!</f>
        <v>#REF!</v>
      </c>
      <c r="D16" s="182">
        <v>45</v>
      </c>
      <c r="E16" s="147" t="e">
        <f>C16*D16/1000</f>
        <v>#REF!</v>
      </c>
      <c r="F16" s="148" t="s">
        <v>179</v>
      </c>
      <c r="G16" s="149" t="e">
        <f>E16</f>
        <v>#REF!</v>
      </c>
      <c r="H16" s="150"/>
      <c r="I16" s="143" t="e">
        <f>E16</f>
        <v>#REF!</v>
      </c>
      <c r="J16" s="471" t="e">
        <f>#REF!</f>
        <v>#REF!</v>
      </c>
      <c r="K16" s="744">
        <f>$K$5</f>
        <v>1</v>
      </c>
      <c r="L16" s="139" t="e">
        <f>I16*J16*K16</f>
        <v>#REF!</v>
      </c>
      <c r="M16" s="148"/>
      <c r="N16" s="141" t="e">
        <f>L16</f>
        <v>#REF!</v>
      </c>
      <c r="O16" s="141"/>
    </row>
    <row r="17" spans="1:15" ht="15" customHeight="1" x14ac:dyDescent="0.15">
      <c r="A17" s="905"/>
      <c r="B17" s="146" t="s">
        <v>13</v>
      </c>
      <c r="C17" s="156" t="e">
        <f>#REF!</f>
        <v>#REF!</v>
      </c>
      <c r="D17" s="182">
        <v>1</v>
      </c>
      <c r="E17" s="147" t="e">
        <f>C17*D17/1000</f>
        <v>#REF!</v>
      </c>
      <c r="F17" s="148" t="s">
        <v>16</v>
      </c>
      <c r="G17" s="149" t="e">
        <f>E17</f>
        <v>#REF!</v>
      </c>
      <c r="H17" s="150"/>
      <c r="I17" s="151" t="e">
        <f>E17</f>
        <v>#REF!</v>
      </c>
      <c r="J17" s="471" t="e">
        <f>#REF!</f>
        <v>#REF!</v>
      </c>
      <c r="K17" s="745">
        <f>$K$5</f>
        <v>1</v>
      </c>
      <c r="L17" s="147" t="e">
        <f>I17*J17*K17</f>
        <v>#REF!</v>
      </c>
      <c r="M17" s="148"/>
      <c r="N17" s="149" t="e">
        <f>L17</f>
        <v>#REF!</v>
      </c>
      <c r="O17" s="149"/>
    </row>
    <row r="18" spans="1:15" ht="15" customHeight="1" x14ac:dyDescent="0.15">
      <c r="A18" s="905"/>
      <c r="B18" s="158" t="s">
        <v>287</v>
      </c>
      <c r="C18" s="159" t="e">
        <f>SUM(E14:E17)</f>
        <v>#REF!</v>
      </c>
      <c r="D18" s="160">
        <v>0.1</v>
      </c>
      <c r="E18" s="159" t="e">
        <f>C18*D18</f>
        <v>#REF!</v>
      </c>
      <c r="F18" s="161"/>
      <c r="G18" s="162" t="e">
        <f>E18</f>
        <v>#REF!</v>
      </c>
      <c r="H18" s="163"/>
      <c r="I18" s="164">
        <v>0</v>
      </c>
      <c r="J18" s="472"/>
      <c r="K18" s="746"/>
      <c r="L18" s="159"/>
      <c r="M18" s="161"/>
      <c r="N18" s="162"/>
      <c r="O18" s="162"/>
    </row>
    <row r="19" spans="1:15" ht="15" customHeight="1" x14ac:dyDescent="0.15">
      <c r="A19" s="906"/>
      <c r="B19" s="9" t="s">
        <v>14</v>
      </c>
      <c r="C19" s="10"/>
      <c r="D19" s="9"/>
      <c r="E19" s="11" t="e">
        <f>SUM(E14:E18)</f>
        <v>#REF!</v>
      </c>
      <c r="F19" s="167"/>
      <c r="G19" s="168" t="e">
        <f>SUM(G14:G18)</f>
        <v>#REF!</v>
      </c>
      <c r="H19" s="169">
        <f>SUM(H14:H18)</f>
        <v>0</v>
      </c>
      <c r="I19" s="170" t="e">
        <f>SUM(I14:I18)</f>
        <v>#REF!</v>
      </c>
      <c r="J19" s="473"/>
      <c r="K19" s="747"/>
      <c r="L19" s="11" t="e">
        <f>SUM(L14:L18)</f>
        <v>#REF!</v>
      </c>
      <c r="M19" s="167"/>
      <c r="N19" s="168" t="e">
        <f>SUM(N14:N18)</f>
        <v>#REF!</v>
      </c>
      <c r="O19" s="168">
        <f>SUM(O14:O18)</f>
        <v>0</v>
      </c>
    </row>
    <row r="20" spans="1:15" ht="15" customHeight="1" x14ac:dyDescent="0.15">
      <c r="A20" s="904" t="s">
        <v>2</v>
      </c>
      <c r="B20" s="173" t="s">
        <v>17</v>
      </c>
      <c r="C20" s="176"/>
      <c r="D20" s="183"/>
      <c r="E20" s="176" t="e">
        <f>#REF!</f>
        <v>#REF!</v>
      </c>
      <c r="F20" s="173" t="s">
        <v>288</v>
      </c>
      <c r="G20" s="178" t="e">
        <f>E20</f>
        <v>#REF!</v>
      </c>
      <c r="H20" s="179"/>
      <c r="I20" s="180">
        <v>0</v>
      </c>
      <c r="J20" s="471"/>
      <c r="K20" s="745"/>
      <c r="L20" s="147"/>
      <c r="M20" s="177" t="s">
        <v>176</v>
      </c>
      <c r="N20" s="149">
        <f>L20</f>
        <v>0</v>
      </c>
      <c r="O20" s="178"/>
    </row>
    <row r="21" spans="1:15" ht="15" customHeight="1" x14ac:dyDescent="0.15">
      <c r="A21" s="905"/>
      <c r="B21" s="146" t="s">
        <v>18</v>
      </c>
      <c r="C21" s="147" t="e">
        <f>E20</f>
        <v>#REF!</v>
      </c>
      <c r="D21" s="476" t="s">
        <v>114</v>
      </c>
      <c r="E21" s="147" t="e">
        <f>C21*6/12*0.06</f>
        <v>#REF!</v>
      </c>
      <c r="F21" s="137" t="s">
        <v>167</v>
      </c>
      <c r="G21" s="149" t="e">
        <f>E21</f>
        <v>#REF!</v>
      </c>
      <c r="H21" s="150"/>
      <c r="I21" s="151">
        <v>0</v>
      </c>
      <c r="J21" s="471"/>
      <c r="K21" s="745"/>
      <c r="L21" s="147"/>
      <c r="M21" s="148" t="s">
        <v>176</v>
      </c>
      <c r="N21" s="149">
        <f>L21</f>
        <v>0</v>
      </c>
      <c r="O21" s="149"/>
    </row>
    <row r="22" spans="1:15" ht="15" customHeight="1" x14ac:dyDescent="0.15">
      <c r="A22" s="905"/>
      <c r="B22" s="137" t="s">
        <v>175</v>
      </c>
      <c r="C22" s="147" t="e">
        <f>#REF!</f>
        <v>#REF!</v>
      </c>
      <c r="D22" s="247" t="s">
        <v>140</v>
      </c>
      <c r="E22" s="147">
        <v>0</v>
      </c>
      <c r="F22" s="477" t="s">
        <v>351</v>
      </c>
      <c r="G22" s="149">
        <f>E22</f>
        <v>0</v>
      </c>
      <c r="H22" s="150"/>
      <c r="I22" s="151" t="e">
        <f>C22</f>
        <v>#REF!</v>
      </c>
      <c r="J22" s="471" t="e">
        <f>#REF!</f>
        <v>#REF!</v>
      </c>
      <c r="K22" s="745">
        <f t="shared" ref="K22:K28" si="2">$K$5</f>
        <v>1</v>
      </c>
      <c r="L22" s="147" t="e">
        <f>I22*J22*K22</f>
        <v>#REF!</v>
      </c>
      <c r="M22" s="148"/>
      <c r="N22" s="725" t="e">
        <f>L22-O22</f>
        <v>#REF!</v>
      </c>
      <c r="O22" s="725">
        <v>540</v>
      </c>
    </row>
    <row r="23" spans="1:15" ht="15" customHeight="1" x14ac:dyDescent="0.15">
      <c r="A23" s="905"/>
      <c r="B23" s="137" t="s">
        <v>174</v>
      </c>
      <c r="C23" s="248" t="e">
        <f>#REF!</f>
        <v>#REF!</v>
      </c>
      <c r="D23" s="245" t="s">
        <v>140</v>
      </c>
      <c r="E23" s="147" t="e">
        <f>#REF!</f>
        <v>#REF!</v>
      </c>
      <c r="F23" s="137" t="s">
        <v>432</v>
      </c>
      <c r="G23" s="149" t="e">
        <f t="shared" ref="G23:G28" si="3">E23</f>
        <v>#REF!</v>
      </c>
      <c r="H23" s="150"/>
      <c r="I23" s="151" t="e">
        <f t="shared" ref="I23:I28" si="4">E23</f>
        <v>#REF!</v>
      </c>
      <c r="J23" s="471" t="e">
        <f>#REF!</f>
        <v>#REF!</v>
      </c>
      <c r="K23" s="745">
        <f t="shared" si="2"/>
        <v>1</v>
      </c>
      <c r="L23" s="147" t="e">
        <f t="shared" ref="L23:L28" si="5">I23*J23*K23</f>
        <v>#REF!</v>
      </c>
      <c r="M23" s="148"/>
      <c r="N23" s="149" t="e">
        <f t="shared" ref="N23:N28" si="6">L23</f>
        <v>#REF!</v>
      </c>
      <c r="O23" s="149"/>
    </row>
    <row r="24" spans="1:15" ht="15" customHeight="1" x14ac:dyDescent="0.15">
      <c r="A24" s="905"/>
      <c r="B24" s="137" t="s">
        <v>36</v>
      </c>
      <c r="C24" s="156" t="e">
        <f>#REF!</f>
        <v>#REF!</v>
      </c>
      <c r="D24" s="7">
        <v>30</v>
      </c>
      <c r="E24" s="147" t="e">
        <f>C24*D24/1000</f>
        <v>#REF!</v>
      </c>
      <c r="F24" s="5" t="s">
        <v>15</v>
      </c>
      <c r="G24" s="149" t="e">
        <f t="shared" si="3"/>
        <v>#REF!</v>
      </c>
      <c r="H24" s="150"/>
      <c r="I24" s="151" t="e">
        <f t="shared" si="4"/>
        <v>#REF!</v>
      </c>
      <c r="J24" s="471" t="e">
        <f>#REF!</f>
        <v>#REF!</v>
      </c>
      <c r="K24" s="745">
        <f t="shared" si="2"/>
        <v>1</v>
      </c>
      <c r="L24" s="147" t="e">
        <f t="shared" si="5"/>
        <v>#REF!</v>
      </c>
      <c r="M24" s="148"/>
      <c r="N24" s="149" t="e">
        <f t="shared" si="6"/>
        <v>#REF!</v>
      </c>
      <c r="O24" s="149"/>
    </row>
    <row r="25" spans="1:15" ht="15" customHeight="1" x14ac:dyDescent="0.15">
      <c r="A25" s="905"/>
      <c r="B25" s="137" t="s">
        <v>33</v>
      </c>
      <c r="C25" s="156" t="e">
        <f>#REF!*(1-転出率)</f>
        <v>#REF!</v>
      </c>
      <c r="D25" s="222">
        <v>10</v>
      </c>
      <c r="E25" s="147" t="e">
        <f>C25*D25/1000</f>
        <v>#REF!</v>
      </c>
      <c r="F25" s="146" t="s">
        <v>170</v>
      </c>
      <c r="G25" s="149" t="e">
        <f t="shared" si="3"/>
        <v>#REF!</v>
      </c>
      <c r="H25" s="150"/>
      <c r="I25" s="151" t="e">
        <f t="shared" si="4"/>
        <v>#REF!</v>
      </c>
      <c r="J25" s="471" t="e">
        <f>#REF!</f>
        <v>#REF!</v>
      </c>
      <c r="K25" s="745">
        <f t="shared" si="2"/>
        <v>1</v>
      </c>
      <c r="L25" s="147" t="e">
        <f t="shared" si="5"/>
        <v>#REF!</v>
      </c>
      <c r="M25" s="148"/>
      <c r="N25" s="149" t="e">
        <f t="shared" si="6"/>
        <v>#REF!</v>
      </c>
      <c r="O25" s="149"/>
    </row>
    <row r="26" spans="1:15" ht="15" customHeight="1" x14ac:dyDescent="0.15">
      <c r="A26" s="905"/>
      <c r="B26" s="5" t="s">
        <v>35</v>
      </c>
      <c r="C26" s="156" t="e">
        <f>C24-C25</f>
        <v>#REF!</v>
      </c>
      <c r="D26" s="222">
        <v>5</v>
      </c>
      <c r="E26" s="147" t="e">
        <f>C26*D26/1000</f>
        <v>#REF!</v>
      </c>
      <c r="F26" s="146" t="s">
        <v>171</v>
      </c>
      <c r="G26" s="149" t="e">
        <f t="shared" si="3"/>
        <v>#REF!</v>
      </c>
      <c r="H26" s="150"/>
      <c r="I26" s="151" t="e">
        <f t="shared" si="4"/>
        <v>#REF!</v>
      </c>
      <c r="J26" s="471" t="e">
        <f>#REF!</f>
        <v>#REF!</v>
      </c>
      <c r="K26" s="745">
        <f t="shared" si="2"/>
        <v>1</v>
      </c>
      <c r="L26" s="147" t="e">
        <f t="shared" si="5"/>
        <v>#REF!</v>
      </c>
      <c r="M26" s="148"/>
      <c r="N26" s="149" t="e">
        <f t="shared" si="6"/>
        <v>#REF!</v>
      </c>
      <c r="O26" s="149"/>
    </row>
    <row r="27" spans="1:15" ht="15" customHeight="1" x14ac:dyDescent="0.15">
      <c r="A27" s="905"/>
      <c r="B27" s="146" t="s">
        <v>34</v>
      </c>
      <c r="C27" s="156" t="e">
        <f>#REF!</f>
        <v>#REF!</v>
      </c>
      <c r="D27" s="246">
        <v>2</v>
      </c>
      <c r="E27" s="6" t="e">
        <f>C27*D27*30/1000</f>
        <v>#REF!</v>
      </c>
      <c r="F27" s="15" t="s">
        <v>394</v>
      </c>
      <c r="G27" s="149" t="e">
        <f t="shared" si="3"/>
        <v>#REF!</v>
      </c>
      <c r="H27" s="150"/>
      <c r="I27" s="151" t="e">
        <f t="shared" si="4"/>
        <v>#REF!</v>
      </c>
      <c r="J27" s="471" t="e">
        <f>#REF!</f>
        <v>#REF!</v>
      </c>
      <c r="K27" s="745">
        <f t="shared" si="2"/>
        <v>1</v>
      </c>
      <c r="L27" s="147" t="e">
        <f t="shared" si="5"/>
        <v>#REF!</v>
      </c>
      <c r="M27" s="148"/>
      <c r="N27" s="149" t="e">
        <f t="shared" si="6"/>
        <v>#REF!</v>
      </c>
      <c r="O27" s="149"/>
    </row>
    <row r="28" spans="1:15" ht="15" customHeight="1" x14ac:dyDescent="0.15">
      <c r="A28" s="905"/>
      <c r="B28" s="137" t="s">
        <v>289</v>
      </c>
      <c r="C28" s="762" t="e">
        <f>#REF!</f>
        <v>#REF!</v>
      </c>
      <c r="D28" s="475">
        <v>2</v>
      </c>
      <c r="E28" s="147" t="e">
        <f>C28*D28*30/1000</f>
        <v>#REF!</v>
      </c>
      <c r="F28" s="223" t="s">
        <v>395</v>
      </c>
      <c r="G28" s="149" t="e">
        <f t="shared" si="3"/>
        <v>#REF!</v>
      </c>
      <c r="H28" s="150"/>
      <c r="I28" s="151" t="e">
        <f t="shared" si="4"/>
        <v>#REF!</v>
      </c>
      <c r="J28" s="471" t="e">
        <f>#REF!</f>
        <v>#REF!</v>
      </c>
      <c r="K28" s="745">
        <f t="shared" si="2"/>
        <v>1</v>
      </c>
      <c r="L28" s="147" t="e">
        <f t="shared" si="5"/>
        <v>#REF!</v>
      </c>
      <c r="M28" s="148"/>
      <c r="N28" s="149" t="e">
        <f t="shared" si="6"/>
        <v>#REF!</v>
      </c>
      <c r="O28" s="149"/>
    </row>
    <row r="29" spans="1:15" ht="15" customHeight="1" x14ac:dyDescent="0.15">
      <c r="A29" s="905"/>
      <c r="B29" s="158" t="s">
        <v>118</v>
      </c>
      <c r="C29" s="159" t="e">
        <f>SUM(E20:E28)</f>
        <v>#REF!</v>
      </c>
      <c r="D29" s="723">
        <v>0</v>
      </c>
      <c r="E29" s="159" t="e">
        <f>C29*D29</f>
        <v>#REF!</v>
      </c>
      <c r="F29" s="161"/>
      <c r="G29" s="162" t="e">
        <f>E29</f>
        <v>#REF!</v>
      </c>
      <c r="H29" s="163"/>
      <c r="I29" s="151">
        <v>0</v>
      </c>
      <c r="J29" s="472"/>
      <c r="K29" s="746"/>
      <c r="L29" s="159"/>
      <c r="M29" s="161"/>
      <c r="N29" s="162"/>
      <c r="O29" s="162"/>
    </row>
    <row r="30" spans="1:15" ht="15" customHeight="1" x14ac:dyDescent="0.15">
      <c r="A30" s="906"/>
      <c r="B30" s="9" t="s">
        <v>335</v>
      </c>
      <c r="C30" s="10"/>
      <c r="D30" s="9"/>
      <c r="E30" s="11" t="e">
        <f>SUM(E20:E29)</f>
        <v>#REF!</v>
      </c>
      <c r="F30" s="167"/>
      <c r="G30" s="168" t="e">
        <f>SUM(G20:G29)</f>
        <v>#REF!</v>
      </c>
      <c r="H30" s="169">
        <f>SUM(H20:H29)</f>
        <v>0</v>
      </c>
      <c r="I30" s="170" t="e">
        <f>SUM(I20:I29)</f>
        <v>#REF!</v>
      </c>
      <c r="J30" s="473"/>
      <c r="K30" s="747"/>
      <c r="L30" s="11" t="e">
        <f>SUM(L20:L29)</f>
        <v>#REF!</v>
      </c>
      <c r="M30" s="167"/>
      <c r="N30" s="168" t="e">
        <f>SUM(N20:N29)</f>
        <v>#REF!</v>
      </c>
      <c r="O30" s="168">
        <f>SUM(O20:O29)</f>
        <v>540</v>
      </c>
    </row>
    <row r="31" spans="1:15" ht="15" customHeight="1" x14ac:dyDescent="0.15">
      <c r="A31" s="904" t="s">
        <v>19</v>
      </c>
      <c r="B31" s="173" t="e">
        <f>#REF!</f>
        <v>#REF!</v>
      </c>
      <c r="C31" s="184" t="e">
        <f>#REF!</f>
        <v>#REF!</v>
      </c>
      <c r="D31" s="185" t="e">
        <f>#REF!</f>
        <v>#REF!</v>
      </c>
      <c r="E31" s="176" t="e">
        <f t="shared" ref="E31:E41" si="7">C31*D31/1000</f>
        <v>#REF!</v>
      </c>
      <c r="F31" s="177" t="s">
        <v>20</v>
      </c>
      <c r="G31" s="178"/>
      <c r="H31" s="179" t="e">
        <f t="shared" ref="H31:H42" si="8">E31</f>
        <v>#REF!</v>
      </c>
      <c r="I31" s="869" t="e">
        <f>SUM(H31:H33)*0.26</f>
        <v>#REF!</v>
      </c>
      <c r="J31" s="1150" t="e">
        <f>#REF!</f>
        <v>#REF!</v>
      </c>
      <c r="K31" s="1207">
        <f t="shared" ref="K31:K40" si="9">$K$5</f>
        <v>1</v>
      </c>
      <c r="L31" s="907" t="e">
        <f>I31*J31*K31</f>
        <v>#REF!</v>
      </c>
      <c r="M31" s="863" t="s">
        <v>374</v>
      </c>
      <c r="N31" s="861"/>
      <c r="O31" s="857" t="e">
        <f>L31</f>
        <v>#REF!</v>
      </c>
    </row>
    <row r="32" spans="1:15" ht="15" customHeight="1" x14ac:dyDescent="0.15">
      <c r="A32" s="905"/>
      <c r="B32" s="146" t="e">
        <f>#REF!</f>
        <v>#REF!</v>
      </c>
      <c r="C32" s="186" t="e">
        <f>#REF!</f>
        <v>#REF!</v>
      </c>
      <c r="D32" s="187" t="e">
        <f>#REF!</f>
        <v>#REF!</v>
      </c>
      <c r="E32" s="147" t="e">
        <f t="shared" si="7"/>
        <v>#REF!</v>
      </c>
      <c r="F32" s="148" t="s">
        <v>20</v>
      </c>
      <c r="G32" s="149"/>
      <c r="H32" s="150" t="e">
        <f t="shared" si="8"/>
        <v>#REF!</v>
      </c>
      <c r="I32" s="1161"/>
      <c r="J32" s="1151"/>
      <c r="K32" s="1208">
        <f t="shared" si="9"/>
        <v>1</v>
      </c>
      <c r="L32" s="1156"/>
      <c r="M32" s="864"/>
      <c r="N32" s="1159"/>
      <c r="O32" s="858"/>
    </row>
    <row r="33" spans="1:16" ht="15" customHeight="1" x14ac:dyDescent="0.15">
      <c r="A33" s="905"/>
      <c r="B33" s="158" t="e">
        <f>#REF!</f>
        <v>#REF!</v>
      </c>
      <c r="C33" s="687" t="e">
        <f>#REF!</f>
        <v>#REF!</v>
      </c>
      <c r="D33" s="688" t="e">
        <f>#REF!</f>
        <v>#REF!</v>
      </c>
      <c r="E33" s="159" t="e">
        <f t="shared" si="7"/>
        <v>#REF!</v>
      </c>
      <c r="F33" s="161" t="s">
        <v>20</v>
      </c>
      <c r="G33" s="162"/>
      <c r="H33" s="163" t="e">
        <f t="shared" si="8"/>
        <v>#REF!</v>
      </c>
      <c r="I33" s="870"/>
      <c r="J33" s="1152"/>
      <c r="K33" s="1209">
        <f t="shared" si="9"/>
        <v>1</v>
      </c>
      <c r="L33" s="908"/>
      <c r="M33" s="1158"/>
      <c r="N33" s="1160"/>
      <c r="O33" s="873"/>
      <c r="P33" s="244"/>
    </row>
    <row r="34" spans="1:16" ht="15" customHeight="1" x14ac:dyDescent="0.15">
      <c r="A34" s="905"/>
      <c r="B34" s="173" t="e">
        <f>#REF!</f>
        <v>#REF!</v>
      </c>
      <c r="C34" s="184" t="e">
        <f>#REF!</f>
        <v>#REF!</v>
      </c>
      <c r="D34" s="185" t="e">
        <f>#REF!</f>
        <v>#REF!</v>
      </c>
      <c r="E34" s="176" t="e">
        <f>C34*D34/1000</f>
        <v>#REF!</v>
      </c>
      <c r="F34" s="177" t="s">
        <v>371</v>
      </c>
      <c r="G34" s="178"/>
      <c r="H34" s="179" t="e">
        <f t="shared" si="8"/>
        <v>#REF!</v>
      </c>
      <c r="I34" s="869" t="e">
        <f>SUM(H34:H36)*0</f>
        <v>#REF!</v>
      </c>
      <c r="J34" s="1150" t="e">
        <f>#REF!</f>
        <v>#REF!</v>
      </c>
      <c r="K34" s="1207">
        <f t="shared" si="9"/>
        <v>1</v>
      </c>
      <c r="L34" s="907" t="e">
        <f>I34*J34*K34</f>
        <v>#REF!</v>
      </c>
      <c r="M34" s="863" t="s">
        <v>372</v>
      </c>
      <c r="N34" s="857"/>
      <c r="O34" s="857" t="e">
        <f>L34</f>
        <v>#REF!</v>
      </c>
    </row>
    <row r="35" spans="1:16" ht="15" customHeight="1" x14ac:dyDescent="0.15">
      <c r="A35" s="905"/>
      <c r="B35" s="146" t="e">
        <f>#REF!</f>
        <v>#REF!</v>
      </c>
      <c r="C35" s="186" t="e">
        <f>#REF!</f>
        <v>#REF!</v>
      </c>
      <c r="D35" s="187" t="e">
        <f>#REF!</f>
        <v>#REF!</v>
      </c>
      <c r="E35" s="147" t="e">
        <f>C35*D35/1000</f>
        <v>#REF!</v>
      </c>
      <c r="F35" s="148" t="s">
        <v>371</v>
      </c>
      <c r="G35" s="149"/>
      <c r="H35" s="150" t="e">
        <f t="shared" si="8"/>
        <v>#REF!</v>
      </c>
      <c r="I35" s="1161"/>
      <c r="J35" s="1151"/>
      <c r="K35" s="1208">
        <f t="shared" si="9"/>
        <v>1</v>
      </c>
      <c r="L35" s="1156"/>
      <c r="M35" s="1162"/>
      <c r="N35" s="858"/>
      <c r="O35" s="858"/>
    </row>
    <row r="36" spans="1:16" ht="15" customHeight="1" x14ac:dyDescent="0.15">
      <c r="A36" s="905"/>
      <c r="B36" s="158" t="e">
        <f>#REF!</f>
        <v>#REF!</v>
      </c>
      <c r="C36" s="687" t="e">
        <f>#REF!</f>
        <v>#REF!</v>
      </c>
      <c r="D36" s="688" t="e">
        <f>#REF!</f>
        <v>#REF!</v>
      </c>
      <c r="E36" s="159" t="e">
        <f>C36*D36/1000</f>
        <v>#REF!</v>
      </c>
      <c r="F36" s="161" t="s">
        <v>371</v>
      </c>
      <c r="G36" s="162"/>
      <c r="H36" s="163" t="e">
        <f t="shared" si="8"/>
        <v>#REF!</v>
      </c>
      <c r="I36" s="870"/>
      <c r="J36" s="1152"/>
      <c r="K36" s="1209">
        <f t="shared" si="9"/>
        <v>1</v>
      </c>
      <c r="L36" s="908"/>
      <c r="M36" s="1163"/>
      <c r="N36" s="873"/>
      <c r="O36" s="873"/>
    </row>
    <row r="37" spans="1:16" ht="15" customHeight="1" x14ac:dyDescent="0.15">
      <c r="A37" s="905"/>
      <c r="B37" s="173" t="e">
        <f>#REF!</f>
        <v>#REF!</v>
      </c>
      <c r="C37" s="691" t="e">
        <f>#REF!</f>
        <v>#REF!</v>
      </c>
      <c r="D37" s="692" t="e">
        <f>#REF!</f>
        <v>#REF!</v>
      </c>
      <c r="E37" s="176" t="e">
        <f t="shared" si="7"/>
        <v>#REF!</v>
      </c>
      <c r="F37" s="177" t="s">
        <v>332</v>
      </c>
      <c r="G37" s="178"/>
      <c r="H37" s="179" t="e">
        <f>E37</f>
        <v>#REF!</v>
      </c>
      <c r="I37" s="869" t="e">
        <f>H37+H38+H39</f>
        <v>#REF!</v>
      </c>
      <c r="J37" s="1150" t="e">
        <f>#REF!</f>
        <v>#REF!</v>
      </c>
      <c r="K37" s="1207">
        <f t="shared" si="9"/>
        <v>1</v>
      </c>
      <c r="L37" s="907" t="e">
        <f>I37*J37*K37</f>
        <v>#REF!</v>
      </c>
      <c r="M37" s="1157" t="s">
        <v>373</v>
      </c>
      <c r="N37" s="861"/>
      <c r="O37" s="857" t="e">
        <f>L37</f>
        <v>#REF!</v>
      </c>
    </row>
    <row r="38" spans="1:16" ht="15" customHeight="1" x14ac:dyDescent="0.15">
      <c r="A38" s="905"/>
      <c r="B38" s="215" t="e">
        <f>#REF!</f>
        <v>#REF!</v>
      </c>
      <c r="C38" s="216" t="e">
        <f>#REF!</f>
        <v>#REF!</v>
      </c>
      <c r="D38" s="187" t="e">
        <f>#REF!</f>
        <v>#REF!</v>
      </c>
      <c r="E38" s="147" t="e">
        <f t="shared" si="7"/>
        <v>#REF!</v>
      </c>
      <c r="F38" s="148" t="s">
        <v>371</v>
      </c>
      <c r="G38" s="219"/>
      <c r="H38" s="150" t="e">
        <f>E38</f>
        <v>#REF!</v>
      </c>
      <c r="I38" s="1161"/>
      <c r="J38" s="1151"/>
      <c r="K38" s="1208">
        <f t="shared" si="9"/>
        <v>1</v>
      </c>
      <c r="L38" s="1156"/>
      <c r="M38" s="864"/>
      <c r="N38" s="1159"/>
      <c r="O38" s="858"/>
    </row>
    <row r="39" spans="1:16" ht="15" customHeight="1" x14ac:dyDescent="0.15">
      <c r="A39" s="905"/>
      <c r="B39" s="158" t="e">
        <f>#REF!</f>
        <v>#REF!</v>
      </c>
      <c r="C39" s="687" t="e">
        <f>#REF!</f>
        <v>#REF!</v>
      </c>
      <c r="D39" s="688" t="e">
        <f>#REF!</f>
        <v>#REF!</v>
      </c>
      <c r="E39" s="159" t="e">
        <f t="shared" si="7"/>
        <v>#REF!</v>
      </c>
      <c r="F39" s="161" t="s">
        <v>371</v>
      </c>
      <c r="G39" s="162"/>
      <c r="H39" s="163" t="e">
        <f>E39</f>
        <v>#REF!</v>
      </c>
      <c r="I39" s="870"/>
      <c r="J39" s="1152"/>
      <c r="K39" s="1209">
        <f t="shared" si="9"/>
        <v>1</v>
      </c>
      <c r="L39" s="908"/>
      <c r="M39" s="1158"/>
      <c r="N39" s="1160"/>
      <c r="O39" s="873"/>
    </row>
    <row r="40" spans="1:16" ht="15" customHeight="1" x14ac:dyDescent="0.15">
      <c r="A40" s="905"/>
      <c r="B40" s="5" t="s">
        <v>164</v>
      </c>
      <c r="C40" s="689" t="e">
        <f>(#REF!-#REF!)*0.3025</f>
        <v>#REF!</v>
      </c>
      <c r="D40" s="686">
        <v>200</v>
      </c>
      <c r="E40" s="139" t="e">
        <f t="shared" si="7"/>
        <v>#REF!</v>
      </c>
      <c r="F40" s="140" t="s">
        <v>20</v>
      </c>
      <c r="G40" s="658"/>
      <c r="H40" s="142" t="e">
        <f t="shared" si="8"/>
        <v>#REF!</v>
      </c>
      <c r="I40" s="143" t="e">
        <f>E40</f>
        <v>#REF!</v>
      </c>
      <c r="J40" s="690" t="e">
        <f>#REF!</f>
        <v>#REF!</v>
      </c>
      <c r="K40" s="744">
        <f t="shared" si="9"/>
        <v>1</v>
      </c>
      <c r="L40" s="139" t="e">
        <f>I40*J40*K40</f>
        <v>#REF!</v>
      </c>
      <c r="M40" s="140"/>
      <c r="N40" s="141"/>
      <c r="O40" s="141" t="e">
        <f>L40</f>
        <v>#REF!</v>
      </c>
    </row>
    <row r="41" spans="1:16" ht="15" customHeight="1" x14ac:dyDescent="0.15">
      <c r="A41" s="905"/>
      <c r="B41" s="215" t="s">
        <v>123</v>
      </c>
      <c r="C41" s="216" t="e">
        <f>#REF!*0.3025</f>
        <v>#REF!</v>
      </c>
      <c r="D41" s="187">
        <v>100</v>
      </c>
      <c r="E41" s="147" t="e">
        <f t="shared" si="7"/>
        <v>#REF!</v>
      </c>
      <c r="F41" s="148" t="s">
        <v>20</v>
      </c>
      <c r="G41" s="219"/>
      <c r="H41" s="150" t="e">
        <f t="shared" si="8"/>
        <v>#REF!</v>
      </c>
      <c r="I41" s="220"/>
      <c r="J41" s="474"/>
      <c r="K41" s="221"/>
      <c r="L41" s="217"/>
      <c r="M41" s="218"/>
      <c r="N41" s="219"/>
      <c r="O41" s="219"/>
    </row>
    <row r="42" spans="1:16" ht="15" customHeight="1" x14ac:dyDescent="0.15">
      <c r="A42" s="905"/>
      <c r="B42" s="158" t="s">
        <v>127</v>
      </c>
      <c r="C42" s="159" t="e">
        <f>SUM(E31:E41)</f>
        <v>#REF!</v>
      </c>
      <c r="D42" s="160">
        <v>0.1</v>
      </c>
      <c r="E42" s="159" t="e">
        <f>C42*D42</f>
        <v>#REF!</v>
      </c>
      <c r="F42" s="188"/>
      <c r="G42" s="162"/>
      <c r="H42" s="163" t="e">
        <f t="shared" si="8"/>
        <v>#REF!</v>
      </c>
      <c r="I42" s="164"/>
      <c r="J42" s="165"/>
      <c r="K42" s="166"/>
      <c r="L42" s="159"/>
      <c r="M42" s="188"/>
      <c r="N42" s="162"/>
      <c r="O42" s="162"/>
    </row>
    <row r="43" spans="1:16" ht="15" customHeight="1" x14ac:dyDescent="0.15">
      <c r="A43" s="8"/>
      <c r="B43" s="9" t="s">
        <v>21</v>
      </c>
      <c r="C43" s="10"/>
      <c r="D43" s="9"/>
      <c r="E43" s="11" t="e">
        <f>SUM(E31:E42)</f>
        <v>#REF!</v>
      </c>
      <c r="F43" s="167"/>
      <c r="G43" s="168">
        <f>SUM(G31:G42)</f>
        <v>0</v>
      </c>
      <c r="H43" s="169" t="e">
        <f>SUM(H31:H42)</f>
        <v>#REF!</v>
      </c>
      <c r="I43" s="170" t="e">
        <f>SUM(I31:I42)</f>
        <v>#REF!</v>
      </c>
      <c r="J43" s="11"/>
      <c r="K43" s="172"/>
      <c r="L43" s="11" t="e">
        <f>SUM(L31:L42)</f>
        <v>#REF!</v>
      </c>
      <c r="M43" s="167"/>
      <c r="N43" s="168">
        <f>SUM(N31:N42)</f>
        <v>0</v>
      </c>
      <c r="O43" s="168" t="e">
        <f>SUM(O31:O42)</f>
        <v>#REF!</v>
      </c>
    </row>
    <row r="44" spans="1:16" ht="15" hidden="1" customHeight="1" x14ac:dyDescent="0.15">
      <c r="A44" s="888" t="s">
        <v>169</v>
      </c>
      <c r="B44" s="173" t="s">
        <v>123</v>
      </c>
      <c r="C44" s="240"/>
      <c r="D44" s="173"/>
      <c r="E44" s="176"/>
      <c r="F44" s="177"/>
      <c r="G44" s="178"/>
      <c r="H44" s="179"/>
      <c r="I44" s="241">
        <v>0</v>
      </c>
      <c r="J44" s="242">
        <v>30</v>
      </c>
      <c r="K44" s="243"/>
      <c r="L44" s="176">
        <f>I44*J44*K44/1000</f>
        <v>0</v>
      </c>
      <c r="M44" s="177" t="s">
        <v>172</v>
      </c>
      <c r="N44" s="193">
        <f>L44</f>
        <v>0</v>
      </c>
      <c r="O44" s="178"/>
    </row>
    <row r="45" spans="1:16" ht="15" hidden="1" customHeight="1" x14ac:dyDescent="0.15">
      <c r="A45" s="889"/>
      <c r="B45" s="232" t="s">
        <v>126</v>
      </c>
      <c r="C45" s="233"/>
      <c r="D45" s="8"/>
      <c r="E45" s="19"/>
      <c r="F45" s="234"/>
      <c r="G45" s="235"/>
      <c r="H45" s="236"/>
      <c r="I45" s="237" t="e">
        <f>#REF!</f>
        <v>#REF!</v>
      </c>
      <c r="J45" s="238">
        <v>53</v>
      </c>
      <c r="K45" s="239"/>
      <c r="L45" s="19" t="e">
        <f>I45*J45*K45/1000</f>
        <v>#REF!</v>
      </c>
      <c r="M45" s="234" t="e">
        <f>"単価：路線価"&amp;#REF!&amp;"千円/㎡×1.2"</f>
        <v>#REF!</v>
      </c>
      <c r="N45" s="162" t="e">
        <f>L45</f>
        <v>#REF!</v>
      </c>
      <c r="O45" s="235"/>
    </row>
    <row r="46" spans="1:16" ht="15" hidden="1" customHeight="1" x14ac:dyDescent="0.15">
      <c r="A46" s="890"/>
      <c r="B46" s="224" t="s">
        <v>397</v>
      </c>
      <c r="C46" s="225"/>
      <c r="D46" s="226"/>
      <c r="E46" s="227"/>
      <c r="F46" s="228"/>
      <c r="G46" s="168"/>
      <c r="H46" s="169"/>
      <c r="I46" s="229"/>
      <c r="J46" s="230"/>
      <c r="K46" s="231"/>
      <c r="L46" s="227" t="e">
        <f>SUM(L44:L45)</f>
        <v>#REF!</v>
      </c>
      <c r="M46" s="228"/>
      <c r="N46" s="168" t="e">
        <f>SUM(N44:N45)</f>
        <v>#REF!</v>
      </c>
      <c r="O46" s="168">
        <f>SUM(O44:O45)</f>
        <v>0</v>
      </c>
    </row>
    <row r="47" spans="1:16" ht="15" customHeight="1" x14ac:dyDescent="0.15">
      <c r="A47" s="1205" t="s">
        <v>433</v>
      </c>
      <c r="B47" s="1206"/>
      <c r="C47" s="726"/>
      <c r="D47" s="727"/>
      <c r="E47" s="728"/>
      <c r="F47" s="18"/>
      <c r="G47" s="189"/>
      <c r="H47" s="190"/>
      <c r="I47" s="730"/>
      <c r="J47" s="731"/>
      <c r="K47" s="729"/>
      <c r="L47" s="765">
        <f>消費税還付の計算!C51</f>
        <v>-413.51351351351354</v>
      </c>
      <c r="M47" s="18"/>
      <c r="N47" s="189"/>
      <c r="O47" s="189"/>
    </row>
    <row r="48" spans="1:16" ht="15" customHeight="1" thickBot="1" x14ac:dyDescent="0.2">
      <c r="A48" s="1145" t="s">
        <v>435</v>
      </c>
      <c r="B48" s="1146"/>
      <c r="C48" s="733"/>
      <c r="D48" s="742"/>
      <c r="E48" s="735"/>
      <c r="F48" s="736"/>
      <c r="G48" s="737"/>
      <c r="H48" s="738"/>
      <c r="I48" s="743" t="e">
        <f>C42-I22-SUM(I31:I40)</f>
        <v>#REF!</v>
      </c>
      <c r="J48" s="742">
        <v>0.05</v>
      </c>
      <c r="K48" s="741"/>
      <c r="L48" s="764" t="e">
        <f>I48*J48</f>
        <v>#REF!</v>
      </c>
      <c r="M48" s="750" t="s">
        <v>398</v>
      </c>
      <c r="N48" s="737"/>
      <c r="O48" s="737"/>
    </row>
    <row r="49" spans="1:18" ht="15" customHeight="1" thickTop="1" x14ac:dyDescent="0.15">
      <c r="A49" s="1147" t="s">
        <v>161</v>
      </c>
      <c r="B49" s="1148"/>
      <c r="C49" s="8"/>
      <c r="D49" s="8"/>
      <c r="E49" s="732" t="e">
        <f>SUM(E43,E30,E19,E13)</f>
        <v>#REF!</v>
      </c>
      <c r="F49" s="234"/>
      <c r="G49" s="235" t="e">
        <f>SUM(G13,G19,G30,G43)</f>
        <v>#REF!</v>
      </c>
      <c r="H49" s="236" t="e">
        <f>SUM(H13,H19,H30,H43)</f>
        <v>#REF!</v>
      </c>
      <c r="I49" s="859" t="s">
        <v>436</v>
      </c>
      <c r="J49" s="860"/>
      <c r="K49" s="1149"/>
      <c r="L49" s="732" t="e">
        <f>SUM(L13,L19,L30,L43,L46,L47,L48)</f>
        <v>#REF!</v>
      </c>
      <c r="M49" s="234"/>
      <c r="N49" s="235"/>
      <c r="O49" s="235"/>
    </row>
    <row r="50" spans="1:18" ht="15" customHeight="1" x14ac:dyDescent="0.15">
      <c r="A50" s="1131" t="s">
        <v>290</v>
      </c>
      <c r="B50" s="1132"/>
      <c r="C50" s="12" t="e">
        <f>E49</f>
        <v>#REF!</v>
      </c>
      <c r="D50" s="3">
        <v>0.03</v>
      </c>
      <c r="E50" s="12" t="e">
        <f>C50*D50</f>
        <v>#REF!</v>
      </c>
      <c r="F50" s="18" t="s">
        <v>292</v>
      </c>
      <c r="G50" s="189" t="e">
        <f>E50*$P$6</f>
        <v>#REF!</v>
      </c>
      <c r="H50" s="190" t="e">
        <f>E50*$Q$6</f>
        <v>#REF!</v>
      </c>
      <c r="I50" s="1133"/>
      <c r="J50" s="1134"/>
      <c r="K50" s="1135"/>
      <c r="L50" s="12"/>
      <c r="M50" s="18"/>
      <c r="N50" s="189"/>
      <c r="O50" s="189"/>
    </row>
    <row r="51" spans="1:18" ht="15" customHeight="1" x14ac:dyDescent="0.15">
      <c r="A51" s="1131" t="s">
        <v>291</v>
      </c>
      <c r="B51" s="1132"/>
      <c r="C51" s="12"/>
      <c r="D51" s="478">
        <v>5</v>
      </c>
      <c r="E51" s="12" t="e">
        <f>(E49+E50)*0.4*0.015*D51</f>
        <v>#REF!</v>
      </c>
      <c r="F51" s="479" t="s">
        <v>396</v>
      </c>
      <c r="G51" s="189" t="e">
        <f>E51*$P$6</f>
        <v>#REF!</v>
      </c>
      <c r="H51" s="190" t="e">
        <f>E51*$Q$6</f>
        <v>#REF!</v>
      </c>
      <c r="I51" s="1133"/>
      <c r="J51" s="1134"/>
      <c r="K51" s="1135"/>
      <c r="L51" s="12"/>
      <c r="M51" s="18"/>
      <c r="N51" s="189"/>
      <c r="O51" s="189"/>
    </row>
    <row r="52" spans="1:18" ht="15" customHeight="1" thickBot="1" x14ac:dyDescent="0.2">
      <c r="A52" s="1140" t="s">
        <v>118</v>
      </c>
      <c r="B52" s="1141"/>
      <c r="C52" s="191" t="e">
        <f>E49+E50+E51</f>
        <v>#REF!</v>
      </c>
      <c r="D52" s="94">
        <v>0.03</v>
      </c>
      <c r="E52" s="191" t="e">
        <f>C52*D52</f>
        <v>#REF!</v>
      </c>
      <c r="F52" s="192" t="s">
        <v>293</v>
      </c>
      <c r="G52" s="193" t="e">
        <f>E52*$P$6</f>
        <v>#REF!</v>
      </c>
      <c r="H52" s="194" t="e">
        <f>E52*$Q$6</f>
        <v>#REF!</v>
      </c>
      <c r="I52" s="1142"/>
      <c r="J52" s="1143"/>
      <c r="K52" s="1144"/>
      <c r="L52" s="191"/>
      <c r="M52" s="195"/>
      <c r="N52" s="193"/>
      <c r="O52" s="193"/>
    </row>
    <row r="53" spans="1:18" ht="15" customHeight="1" thickTop="1" x14ac:dyDescent="0.15">
      <c r="A53" s="196" t="s">
        <v>37</v>
      </c>
      <c r="B53" s="204"/>
      <c r="C53" s="197"/>
      <c r="D53" s="198"/>
      <c r="E53" s="199" t="e">
        <f>E49+E50+E51+E52</f>
        <v>#REF!</v>
      </c>
      <c r="F53" s="197"/>
      <c r="G53" s="200" t="e">
        <f>SUM(G49:G52)</f>
        <v>#REF!</v>
      </c>
      <c r="H53" s="201" t="e">
        <f>SUM(H49:H52)</f>
        <v>#REF!</v>
      </c>
      <c r="I53" s="202" t="s">
        <v>62</v>
      </c>
      <c r="J53" s="197"/>
      <c r="K53" s="203"/>
      <c r="L53" s="199" t="e">
        <f>L49</f>
        <v>#REF!</v>
      </c>
      <c r="M53" s="204"/>
      <c r="N53" s="200" t="e">
        <f>SUM(N13,N19,N30,N43,N46)</f>
        <v>#REF!</v>
      </c>
      <c r="O53" s="200" t="e">
        <f>SUM(O13,O19,O30,O43,O46)</f>
        <v>#REF!</v>
      </c>
    </row>
    <row r="54" spans="1:18" ht="15" customHeight="1" x14ac:dyDescent="0.15">
      <c r="A54" s="205"/>
      <c r="B54" s="206" t="s">
        <v>23</v>
      </c>
      <c r="C54" s="207"/>
      <c r="D54" s="208"/>
      <c r="E54" s="209" t="e">
        <f>G53</f>
        <v>#REF!</v>
      </c>
      <c r="F54" s="1136" t="s">
        <v>38</v>
      </c>
      <c r="G54" s="1137"/>
      <c r="H54" s="1137"/>
      <c r="I54" s="210"/>
      <c r="J54" s="211" t="s">
        <v>162</v>
      </c>
      <c r="K54" s="212"/>
      <c r="L54" s="209" t="e">
        <f>N53</f>
        <v>#REF!</v>
      </c>
      <c r="M54" s="1136" t="s">
        <v>38</v>
      </c>
      <c r="N54" s="1137"/>
      <c r="O54" s="1138"/>
      <c r="P54" s="17"/>
      <c r="Q54" s="17"/>
      <c r="R54" s="17"/>
    </row>
    <row r="55" spans="1:18" ht="15" customHeight="1" x14ac:dyDescent="0.15">
      <c r="A55" s="213"/>
      <c r="B55" s="206" t="s">
        <v>24</v>
      </c>
      <c r="C55" s="207"/>
      <c r="D55" s="208"/>
      <c r="E55" s="209" t="e">
        <f>H53</f>
        <v>#REF!</v>
      </c>
      <c r="F55" s="1136" t="s">
        <v>38</v>
      </c>
      <c r="G55" s="1137"/>
      <c r="H55" s="1137"/>
      <c r="I55" s="214"/>
      <c r="J55" s="211" t="s">
        <v>163</v>
      </c>
      <c r="K55" s="212"/>
      <c r="L55" s="209" t="e">
        <f>O53</f>
        <v>#REF!</v>
      </c>
      <c r="M55" s="1136" t="s">
        <v>38</v>
      </c>
      <c r="N55" s="1137"/>
      <c r="O55" s="1138"/>
      <c r="P55" s="17"/>
      <c r="Q55" s="17"/>
      <c r="R55" s="17"/>
    </row>
    <row r="56" spans="1:18" x14ac:dyDescent="0.15">
      <c r="A56" s="1139" t="s">
        <v>353</v>
      </c>
      <c r="B56" s="1139"/>
      <c r="C56" s="1139"/>
      <c r="D56" s="1139"/>
      <c r="E56" s="1139"/>
      <c r="F56" s="1139"/>
      <c r="G56" s="1139"/>
      <c r="H56" s="1139"/>
      <c r="I56" s="1139"/>
      <c r="J56" s="1139"/>
      <c r="K56" s="1139"/>
      <c r="L56" s="1139"/>
      <c r="M56" s="1139"/>
      <c r="N56" s="1139"/>
      <c r="O56" s="1139"/>
      <c r="P56" s="560"/>
    </row>
    <row r="57" spans="1:18" x14ac:dyDescent="0.15">
      <c r="A57" s="560"/>
      <c r="B57" s="560"/>
      <c r="C57" s="560"/>
      <c r="D57" s="560"/>
      <c r="E57" s="560"/>
      <c r="F57" s="560"/>
      <c r="G57" s="560"/>
      <c r="H57" s="560"/>
      <c r="I57" s="560"/>
      <c r="J57" s="560"/>
      <c r="K57" s="560"/>
      <c r="L57" s="560"/>
      <c r="M57" s="560"/>
      <c r="N57" s="561"/>
      <c r="O57" s="560"/>
      <c r="P57" s="560"/>
    </row>
    <row r="58" spans="1:18" x14ac:dyDescent="0.15">
      <c r="A58" s="560"/>
      <c r="B58" s="560"/>
      <c r="C58" s="560"/>
      <c r="D58" s="560"/>
      <c r="E58" s="560"/>
      <c r="F58" s="560"/>
      <c r="G58" s="560"/>
      <c r="H58" s="560"/>
      <c r="I58" s="560"/>
      <c r="J58" s="560"/>
      <c r="K58" s="560"/>
      <c r="L58" s="560"/>
      <c r="M58" s="560"/>
      <c r="N58" s="561"/>
      <c r="O58" s="560"/>
      <c r="P58" s="560"/>
    </row>
    <row r="59" spans="1:18" x14ac:dyDescent="0.15">
      <c r="N59" s="16"/>
    </row>
    <row r="60" spans="1:18" x14ac:dyDescent="0.15">
      <c r="I60" s="16"/>
    </row>
  </sheetData>
  <mergeCells count="46">
    <mergeCell ref="M1:O1"/>
    <mergeCell ref="B3:H3"/>
    <mergeCell ref="I3:O3"/>
    <mergeCell ref="P3:Q3"/>
    <mergeCell ref="R3:S3"/>
    <mergeCell ref="A5:A13"/>
    <mergeCell ref="A14:A19"/>
    <mergeCell ref="A20:A30"/>
    <mergeCell ref="A31:A42"/>
    <mergeCell ref="I31:I33"/>
    <mergeCell ref="I37:I39"/>
    <mergeCell ref="O31:O33"/>
    <mergeCell ref="I34:I36"/>
    <mergeCell ref="J34:J36"/>
    <mergeCell ref="K34:K36"/>
    <mergeCell ref="L34:L36"/>
    <mergeCell ref="M34:M36"/>
    <mergeCell ref="N34:N36"/>
    <mergeCell ref="O34:O36"/>
    <mergeCell ref="J31:J33"/>
    <mergeCell ref="K31:K33"/>
    <mergeCell ref="L31:L33"/>
    <mergeCell ref="M31:M33"/>
    <mergeCell ref="N31:N33"/>
    <mergeCell ref="O37:O39"/>
    <mergeCell ref="A44:A46"/>
    <mergeCell ref="A47:B47"/>
    <mergeCell ref="A48:B48"/>
    <mergeCell ref="A49:B49"/>
    <mergeCell ref="I49:K49"/>
    <mergeCell ref="J37:J39"/>
    <mergeCell ref="K37:K39"/>
    <mergeCell ref="L37:L39"/>
    <mergeCell ref="M37:M39"/>
    <mergeCell ref="N37:N39"/>
    <mergeCell ref="A50:B50"/>
    <mergeCell ref="I50:K50"/>
    <mergeCell ref="F55:H55"/>
    <mergeCell ref="M55:O55"/>
    <mergeCell ref="A56:O56"/>
    <mergeCell ref="A51:B51"/>
    <mergeCell ref="I51:K51"/>
    <mergeCell ref="A52:B52"/>
    <mergeCell ref="I52:K52"/>
    <mergeCell ref="F54:H54"/>
    <mergeCell ref="M54:O54"/>
  </mergeCells>
  <phoneticPr fontId="2"/>
  <printOptions horizontalCentered="1" verticalCentered="1"/>
  <pageMargins left="0.35433070866141736" right="0.35433070866141736" top="0.39370078740157483" bottom="0.39370078740157483" header="0.31496062992125984" footer="0.31496062992125984"/>
  <pageSetup paperSize="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A1:O71"/>
  <sheetViews>
    <sheetView workbookViewId="0"/>
  </sheetViews>
  <sheetFormatPr defaultRowHeight="13.5" x14ac:dyDescent="0.15"/>
  <cols>
    <col min="1" max="1" width="1.125" customWidth="1"/>
    <col min="2" max="2" width="2.75" customWidth="1"/>
    <col min="3" max="3" width="16.25" customWidth="1"/>
    <col min="4" max="8" width="8" customWidth="1"/>
    <col min="9" max="9" width="7.75" customWidth="1"/>
    <col min="10" max="10" width="10.5" customWidth="1"/>
    <col min="11" max="11" width="9.5" customWidth="1"/>
    <col min="12" max="12" width="8" customWidth="1"/>
    <col min="13" max="13" width="2.125" customWidth="1"/>
    <col min="15" max="15" width="2.75" customWidth="1"/>
    <col min="16" max="16" width="14.75" customWidth="1"/>
  </cols>
  <sheetData>
    <row r="1" spans="1:15" ht="16.5" customHeight="1" x14ac:dyDescent="0.15">
      <c r="A1" s="387" t="s">
        <v>427</v>
      </c>
      <c r="B1" s="407"/>
      <c r="C1" s="407"/>
      <c r="D1" s="407"/>
      <c r="E1" s="407"/>
      <c r="F1" s="407"/>
      <c r="G1" s="407"/>
      <c r="H1" s="407"/>
      <c r="I1" s="407"/>
      <c r="J1" s="407"/>
      <c r="K1" s="1202">
        <f ca="1">TODAY()</f>
        <v>45398</v>
      </c>
      <c r="L1" s="1202"/>
      <c r="M1" s="1202"/>
    </row>
    <row r="3" spans="1:15" x14ac:dyDescent="0.15">
      <c r="B3" s="14" t="s">
        <v>41</v>
      </c>
    </row>
    <row r="4" spans="1:15" ht="6.95" customHeight="1" x14ac:dyDescent="0.15">
      <c r="B4" s="249"/>
      <c r="C4" s="20"/>
      <c r="D4" s="20"/>
      <c r="E4" s="20"/>
      <c r="F4" s="20"/>
      <c r="G4" s="20"/>
      <c r="H4" s="20"/>
      <c r="I4" s="20"/>
      <c r="J4" s="20"/>
      <c r="K4" s="250"/>
    </row>
    <row r="5" spans="1:15" ht="12" customHeight="1" x14ac:dyDescent="0.15">
      <c r="B5" s="1203"/>
      <c r="C5" s="1105"/>
      <c r="D5" s="1194" t="s">
        <v>42</v>
      </c>
      <c r="E5" s="1194"/>
      <c r="F5" s="1194" t="s">
        <v>43</v>
      </c>
      <c r="G5" s="1194"/>
      <c r="H5" s="1194" t="s">
        <v>173</v>
      </c>
      <c r="I5" s="1194"/>
      <c r="J5" s="1194" t="s">
        <v>44</v>
      </c>
      <c r="K5" s="1204"/>
      <c r="L5" s="1"/>
    </row>
    <row r="6" spans="1:15" ht="18.75" customHeight="1" x14ac:dyDescent="0.15">
      <c r="B6" s="1193" t="s">
        <v>66</v>
      </c>
      <c r="C6" s="1194"/>
      <c r="D6" s="17" t="e">
        <f>'事業費C(還付・緊促・充100%)'!G53</f>
        <v>#REF!</v>
      </c>
      <c r="E6" s="251" t="s">
        <v>68</v>
      </c>
      <c r="F6" s="17" t="e">
        <f>'事業費C(還付・緊促・充100%)'!N53</f>
        <v>#REF!</v>
      </c>
      <c r="G6" s="251" t="s">
        <v>58</v>
      </c>
      <c r="H6" s="252" t="e">
        <f>#REF!</f>
        <v>#REF!</v>
      </c>
      <c r="I6" s="251" t="s">
        <v>59</v>
      </c>
      <c r="J6" s="253" t="e">
        <f>D6-F6+H6</f>
        <v>#REF!</v>
      </c>
      <c r="K6" s="254" t="s">
        <v>45</v>
      </c>
      <c r="L6" s="253"/>
    </row>
    <row r="7" spans="1:15" ht="18.75" customHeight="1" x14ac:dyDescent="0.15">
      <c r="B7" s="1193" t="s">
        <v>67</v>
      </c>
      <c r="C7" s="1194"/>
      <c r="D7" s="17" t="e">
        <f>'事業費C(還付・緊促・充100%)'!H53</f>
        <v>#REF!</v>
      </c>
      <c r="E7" s="251" t="s">
        <v>68</v>
      </c>
      <c r="F7" s="17" t="e">
        <f>'事業費C(還付・緊促・充100%)'!O53</f>
        <v>#REF!</v>
      </c>
      <c r="G7" s="251" t="s">
        <v>58</v>
      </c>
      <c r="H7" s="255" t="e">
        <f>#REF!</f>
        <v>#REF!</v>
      </c>
      <c r="I7" s="251" t="s">
        <v>59</v>
      </c>
      <c r="J7" s="253" t="e">
        <f>D7-F7+H7</f>
        <v>#REF!</v>
      </c>
      <c r="K7" s="254" t="s">
        <v>45</v>
      </c>
      <c r="L7" s="253"/>
    </row>
    <row r="8" spans="1:15" ht="6.95" customHeight="1" x14ac:dyDescent="0.15">
      <c r="B8" s="256"/>
      <c r="C8" s="27"/>
      <c r="D8" s="257"/>
      <c r="E8" s="258"/>
      <c r="F8" s="257"/>
      <c r="G8" s="258"/>
      <c r="H8" s="258"/>
      <c r="I8" s="258"/>
      <c r="J8" s="259"/>
      <c r="K8" s="260"/>
      <c r="L8" s="253"/>
    </row>
    <row r="9" spans="1:15" ht="15" customHeight="1" x14ac:dyDescent="0.15"/>
    <row r="10" spans="1:15" ht="15" customHeight="1" thickBot="1" x14ac:dyDescent="0.2">
      <c r="B10" s="14" t="s">
        <v>60</v>
      </c>
      <c r="O10" s="261"/>
    </row>
    <row r="11" spans="1:15" ht="15" customHeight="1" x14ac:dyDescent="0.15">
      <c r="B11" s="1195"/>
      <c r="C11" s="1196"/>
      <c r="D11" s="53" t="s">
        <v>108</v>
      </c>
      <c r="E11" s="280" t="s">
        <v>119</v>
      </c>
      <c r="F11" s="285" t="s">
        <v>27</v>
      </c>
      <c r="G11" s="65" t="s">
        <v>110</v>
      </c>
      <c r="H11" s="1199" t="s">
        <v>54</v>
      </c>
    </row>
    <row r="12" spans="1:15" ht="15" customHeight="1" thickBot="1" x14ac:dyDescent="0.2">
      <c r="B12" s="1197"/>
      <c r="C12" s="1198"/>
      <c r="D12" s="54"/>
      <c r="E12" s="88"/>
      <c r="F12" s="274"/>
      <c r="G12" s="66"/>
      <c r="H12" s="1200"/>
    </row>
    <row r="13" spans="1:15" ht="15" customHeight="1" thickTop="1" x14ac:dyDescent="0.15">
      <c r="B13" s="42"/>
      <c r="C13" s="36" t="s">
        <v>83</v>
      </c>
      <c r="D13" s="55" t="e">
        <f>#REF!</f>
        <v>#REF!</v>
      </c>
      <c r="E13" s="281" t="e">
        <f>#REF!</f>
        <v>#REF!</v>
      </c>
      <c r="F13" s="275" t="e">
        <f>#REF!</f>
        <v>#REF!</v>
      </c>
      <c r="G13" s="67" t="e">
        <f>#REF!</f>
        <v>#REF!</v>
      </c>
      <c r="H13" s="41" t="e">
        <f>SUM(D13:G13)</f>
        <v>#REF!</v>
      </c>
    </row>
    <row r="14" spans="1:15" ht="15" customHeight="1" x14ac:dyDescent="0.15">
      <c r="B14" s="42"/>
      <c r="C14" s="36" t="s">
        <v>46</v>
      </c>
      <c r="D14" s="56" t="e">
        <f>D15/D13</f>
        <v>#REF!</v>
      </c>
      <c r="E14" s="282" t="e">
        <f>E15/E13</f>
        <v>#REF!</v>
      </c>
      <c r="F14" s="286" t="e">
        <f>F15/F13</f>
        <v>#REF!</v>
      </c>
      <c r="G14" s="68" t="e">
        <f>G15/G13</f>
        <v>#REF!</v>
      </c>
      <c r="H14" s="43" t="e">
        <f>H15/H13</f>
        <v>#REF!</v>
      </c>
    </row>
    <row r="15" spans="1:15" ht="15" customHeight="1" x14ac:dyDescent="0.15">
      <c r="B15" s="40"/>
      <c r="C15" s="35" t="s">
        <v>47</v>
      </c>
      <c r="D15" s="57" t="e">
        <f>#REF!</f>
        <v>#REF!</v>
      </c>
      <c r="E15" s="89" t="e">
        <f>#REF!</f>
        <v>#REF!</v>
      </c>
      <c r="F15" s="287" t="e">
        <f>#REF!</f>
        <v>#REF!</v>
      </c>
      <c r="G15" s="69" t="e">
        <f>#REF!+#REF!+#REF!</f>
        <v>#REF!</v>
      </c>
      <c r="H15" s="44" t="e">
        <f>SUM(D15:F15)</f>
        <v>#REF!</v>
      </c>
    </row>
    <row r="16" spans="1:15" ht="15" customHeight="1" x14ac:dyDescent="0.15">
      <c r="B16" s="1188" t="s">
        <v>48</v>
      </c>
      <c r="C16" s="388" t="s">
        <v>331</v>
      </c>
      <c r="D16" s="58">
        <v>100</v>
      </c>
      <c r="E16" s="776">
        <v>25.9</v>
      </c>
      <c r="F16" s="777">
        <v>25.9</v>
      </c>
      <c r="G16" s="70">
        <v>0</v>
      </c>
      <c r="H16" s="37"/>
    </row>
    <row r="17" spans="2:12" ht="15" customHeight="1" x14ac:dyDescent="0.15">
      <c r="B17" s="1189"/>
      <c r="C17" s="38" t="s">
        <v>57</v>
      </c>
      <c r="D17" s="59" t="e">
        <f>D15*D16</f>
        <v>#REF!</v>
      </c>
      <c r="E17" s="272" t="e">
        <f>E15*E16</f>
        <v>#REF!</v>
      </c>
      <c r="F17" s="279" t="e">
        <f>F15*F16</f>
        <v>#REF!</v>
      </c>
      <c r="G17" s="71" t="e">
        <f>G16*G15</f>
        <v>#REF!</v>
      </c>
      <c r="H17" s="45" t="e">
        <f>SUM(D17:F17)</f>
        <v>#REF!</v>
      </c>
    </row>
    <row r="18" spans="2:12" ht="15" customHeight="1" x14ac:dyDescent="0.15">
      <c r="B18" s="1189"/>
      <c r="C18" s="38" t="s">
        <v>82</v>
      </c>
      <c r="D18" s="60" t="e">
        <f>D17/$H$17</f>
        <v>#REF!</v>
      </c>
      <c r="E18" s="91" t="e">
        <f>E17/$H$17</f>
        <v>#REF!</v>
      </c>
      <c r="F18" s="288" t="e">
        <f>F17/$H$17</f>
        <v>#REF!</v>
      </c>
      <c r="G18" s="72" t="e">
        <f>G17/H17</f>
        <v>#REF!</v>
      </c>
      <c r="H18" s="46" t="e">
        <f>SUM(D18:F18)</f>
        <v>#REF!</v>
      </c>
    </row>
    <row r="19" spans="2:12" ht="15" customHeight="1" x14ac:dyDescent="0.15">
      <c r="B19" s="1189"/>
      <c r="C19" s="38" t="s">
        <v>49</v>
      </c>
      <c r="D19" s="59" t="e">
        <f>D18*$H$19</f>
        <v>#REF!</v>
      </c>
      <c r="E19" s="272" t="e">
        <f>E18*$H$19</f>
        <v>#REF!</v>
      </c>
      <c r="F19" s="279" t="e">
        <f>F18*$H$19</f>
        <v>#REF!</v>
      </c>
      <c r="G19" s="73" t="e">
        <f>G18*$H$19</f>
        <v>#REF!</v>
      </c>
      <c r="H19" s="47" t="e">
        <f>J6*1000</f>
        <v>#REF!</v>
      </c>
    </row>
    <row r="20" spans="2:12" ht="15" customHeight="1" x14ac:dyDescent="0.15">
      <c r="B20" s="1201"/>
      <c r="C20" s="39" t="s">
        <v>50</v>
      </c>
      <c r="D20" s="61" t="e">
        <f>D19/D15</f>
        <v>#REF!</v>
      </c>
      <c r="E20" s="283" t="e">
        <f>E19/E15</f>
        <v>#REF!</v>
      </c>
      <c r="F20" s="289" t="e">
        <f>F19/F15</f>
        <v>#REF!</v>
      </c>
      <c r="G20" s="74" t="str">
        <f>IF(ISERROR(G19/F15),"0",G19/F15)</f>
        <v>0</v>
      </c>
      <c r="H20" s="48" t="e">
        <f>H19/H15</f>
        <v>#REF!</v>
      </c>
    </row>
    <row r="21" spans="2:12" ht="15" customHeight="1" x14ac:dyDescent="0.15">
      <c r="B21" s="1188" t="s">
        <v>51</v>
      </c>
      <c r="C21" s="37" t="s">
        <v>81</v>
      </c>
      <c r="D21" s="62" t="e">
        <f>#REF!*0.3025*#REF!/1000+#REF!/3</f>
        <v>#REF!</v>
      </c>
      <c r="E21" s="284" t="e">
        <f>#REF!+(#REF!+#REF!)*0.3025*#REF!/1000+#REF!*2/3</f>
        <v>#REF!</v>
      </c>
      <c r="F21" s="290" t="e">
        <f>#REF!*0.3025*#REF!/1000+#REF!+#REF!</f>
        <v>#REF!</v>
      </c>
      <c r="G21" s="75">
        <v>0</v>
      </c>
      <c r="H21" s="49" t="e">
        <f>SUM(D21:G21)</f>
        <v>#REF!</v>
      </c>
    </row>
    <row r="22" spans="2:12" ht="15" customHeight="1" x14ac:dyDescent="0.15">
      <c r="B22" s="1189"/>
      <c r="C22" s="38" t="s">
        <v>52</v>
      </c>
      <c r="D22" s="60" t="e">
        <f>D21/$H$21</f>
        <v>#REF!</v>
      </c>
      <c r="E22" s="91" t="e">
        <f>E21/$H$21</f>
        <v>#REF!</v>
      </c>
      <c r="F22" s="276" t="e">
        <f>F21/$H$21</f>
        <v>#REF!</v>
      </c>
      <c r="G22" s="76" t="e">
        <f>G21/H21</f>
        <v>#REF!</v>
      </c>
      <c r="H22" s="46" t="e">
        <f>SUM(D22:G22)</f>
        <v>#REF!</v>
      </c>
    </row>
    <row r="23" spans="2:12" ht="15" customHeight="1" x14ac:dyDescent="0.15">
      <c r="B23" s="1189"/>
      <c r="C23" s="38" t="s">
        <v>53</v>
      </c>
      <c r="D23" s="59" t="e">
        <f>D22*$H$23</f>
        <v>#REF!</v>
      </c>
      <c r="E23" s="272" t="e">
        <f>E22*$H$23</f>
        <v>#REF!</v>
      </c>
      <c r="F23" s="279" t="e">
        <f>F22*$H$23</f>
        <v>#REF!</v>
      </c>
      <c r="G23" s="73" t="e">
        <f>G22*$H$23</f>
        <v>#REF!</v>
      </c>
      <c r="H23" s="47" t="e">
        <f>J7*1000</f>
        <v>#REF!</v>
      </c>
    </row>
    <row r="24" spans="2:12" ht="15" customHeight="1" thickBot="1" x14ac:dyDescent="0.2">
      <c r="B24" s="1189"/>
      <c r="C24" s="38" t="s">
        <v>50</v>
      </c>
      <c r="D24" s="59" t="e">
        <f>D23/D15</f>
        <v>#REF!</v>
      </c>
      <c r="E24" s="90" t="e">
        <f>E23/E15</f>
        <v>#REF!</v>
      </c>
      <c r="F24" s="279" t="e">
        <f>F23/F15</f>
        <v>#REF!</v>
      </c>
      <c r="G24" s="73" t="str">
        <f>IF(ISERROR(G23/F15),"0",G23/F15)</f>
        <v>0</v>
      </c>
      <c r="H24" s="45" t="e">
        <f>H23/H15</f>
        <v>#REF!</v>
      </c>
    </row>
    <row r="25" spans="2:12" ht="15" customHeight="1" x14ac:dyDescent="0.15">
      <c r="B25" s="1190" t="s">
        <v>54</v>
      </c>
      <c r="C25" s="271" t="s">
        <v>55</v>
      </c>
      <c r="D25" s="63" t="e">
        <f>D19+D23</f>
        <v>#REF!</v>
      </c>
      <c r="E25" s="92" t="e">
        <f>E19+E23</f>
        <v>#REF!</v>
      </c>
      <c r="F25" s="278" t="e">
        <f>F19+F23</f>
        <v>#REF!</v>
      </c>
      <c r="G25" s="77" t="e">
        <f>G19+G23</f>
        <v>#REF!</v>
      </c>
      <c r="H25" s="50" t="e">
        <f>SUM(D25:G25)</f>
        <v>#REF!</v>
      </c>
    </row>
    <row r="26" spans="2:12" ht="15" customHeight="1" x14ac:dyDescent="0.15">
      <c r="B26" s="1189"/>
      <c r="C26" s="38" t="s">
        <v>50</v>
      </c>
      <c r="D26" s="59" t="e">
        <f>D25/D15</f>
        <v>#REF!</v>
      </c>
      <c r="E26" s="272" t="e">
        <f>E25/E15</f>
        <v>#REF!</v>
      </c>
      <c r="F26" s="279" t="e">
        <f>F25/F15</f>
        <v>#REF!</v>
      </c>
      <c r="G26" s="73" t="str">
        <f>IF(ISERROR(G25/F15),"0",G25/F15)</f>
        <v>0</v>
      </c>
      <c r="H26" s="45" t="e">
        <f>H25/H15</f>
        <v>#REF!</v>
      </c>
    </row>
    <row r="27" spans="2:12" ht="15" customHeight="1" thickBot="1" x14ac:dyDescent="0.2">
      <c r="B27" s="1191"/>
      <c r="C27" s="51" t="s">
        <v>56</v>
      </c>
      <c r="D27" s="775" t="e">
        <f>D26/0.3025</f>
        <v>#REF!</v>
      </c>
      <c r="E27" s="273" t="e">
        <f>E26/0.3025</f>
        <v>#REF!</v>
      </c>
      <c r="F27" s="277" t="e">
        <f>F26/0.3025</f>
        <v>#REF!</v>
      </c>
      <c r="G27" s="78">
        <f>G26/0.3025</f>
        <v>0</v>
      </c>
      <c r="H27" s="52" t="e">
        <f>H26/0.3025</f>
        <v>#REF!</v>
      </c>
    </row>
    <row r="28" spans="2:12" ht="15" hidden="1" customHeight="1" x14ac:dyDescent="0.15">
      <c r="B28" s="665"/>
      <c r="C28" s="1"/>
      <c r="D28" s="667"/>
      <c r="E28" s="667"/>
      <c r="F28" s="667"/>
      <c r="G28" s="667"/>
      <c r="H28" s="666"/>
    </row>
    <row r="29" spans="2:12" ht="15" hidden="1" customHeight="1" thickBot="1" x14ac:dyDescent="0.2">
      <c r="B29" s="633" t="s">
        <v>392</v>
      </c>
      <c r="C29" s="1"/>
      <c r="D29" s="17"/>
      <c r="E29" s="17"/>
      <c r="F29" s="17"/>
      <c r="G29" s="17"/>
      <c r="H29" s="17"/>
    </row>
    <row r="30" spans="2:12" ht="15" hidden="1" customHeight="1" x14ac:dyDescent="0.15">
      <c r="B30" s="1190" t="s">
        <v>54</v>
      </c>
      <c r="C30" s="271" t="s">
        <v>55</v>
      </c>
      <c r="D30" s="63" t="e">
        <f>H30-E30-F30</f>
        <v>#REF!</v>
      </c>
      <c r="E30" s="92" t="e">
        <f>E31*E15</f>
        <v>#REF!</v>
      </c>
      <c r="F30" s="278" t="e">
        <f>F31*F15</f>
        <v>#REF!</v>
      </c>
      <c r="G30" s="77" t="e">
        <f>G23+G27</f>
        <v>#REF!</v>
      </c>
      <c r="H30" s="50" t="e">
        <f>H25</f>
        <v>#REF!</v>
      </c>
      <c r="J30" s="717"/>
    </row>
    <row r="31" spans="2:12" ht="15" hidden="1" customHeight="1" x14ac:dyDescent="0.15">
      <c r="B31" s="1189"/>
      <c r="C31" s="38" t="s">
        <v>50</v>
      </c>
      <c r="D31" s="59" t="e">
        <f>D30/D15</f>
        <v>#REF!</v>
      </c>
      <c r="E31" s="272">
        <f>E32*0.3025</f>
        <v>544.5</v>
      </c>
      <c r="F31" s="279">
        <f>F32*0.3025</f>
        <v>605</v>
      </c>
      <c r="G31" s="73" t="str">
        <f>IF(ISERROR(G30/F19),"0",G30/F19)</f>
        <v>0</v>
      </c>
      <c r="H31" s="45" t="e">
        <f>H30/H15</f>
        <v>#REF!</v>
      </c>
    </row>
    <row r="32" spans="2:12" ht="15" hidden="1" customHeight="1" thickBot="1" x14ac:dyDescent="0.2">
      <c r="B32" s="1191"/>
      <c r="C32" s="51" t="s">
        <v>56</v>
      </c>
      <c r="D32" s="64" t="e">
        <f>D31/0.3025</f>
        <v>#REF!</v>
      </c>
      <c r="E32" s="273">
        <v>1800</v>
      </c>
      <c r="F32" s="277">
        <v>2000</v>
      </c>
      <c r="G32" s="78">
        <f>G31/0.3025</f>
        <v>0</v>
      </c>
      <c r="H32" s="52" t="e">
        <f>H31/0.3025</f>
        <v>#REF!</v>
      </c>
      <c r="I32" s="1"/>
      <c r="J32" s="1"/>
      <c r="K32" s="1"/>
      <c r="L32" s="1"/>
    </row>
    <row r="33" spans="2:12" ht="15" customHeight="1" x14ac:dyDescent="0.15">
      <c r="B33" s="665"/>
      <c r="C33" s="1"/>
      <c r="D33" s="667"/>
      <c r="E33" s="667"/>
      <c r="F33" s="667"/>
      <c r="G33" s="667"/>
      <c r="H33" s="666"/>
      <c r="I33" s="1"/>
      <c r="J33" s="1"/>
      <c r="K33" s="1"/>
      <c r="L33" s="1"/>
    </row>
    <row r="34" spans="2:12" ht="15" customHeight="1" x14ac:dyDescent="0.15">
      <c r="B34" s="14" t="s">
        <v>384</v>
      </c>
    </row>
    <row r="35" spans="2:12" ht="15" customHeight="1" thickBot="1" x14ac:dyDescent="0.2">
      <c r="B35" s="705"/>
      <c r="C35" s="705" t="s">
        <v>385</v>
      </c>
      <c r="F35" s="705" t="s">
        <v>386</v>
      </c>
      <c r="H35" s="13"/>
      <c r="I35" s="705" t="s">
        <v>387</v>
      </c>
    </row>
    <row r="36" spans="2:12" ht="15" customHeight="1" x14ac:dyDescent="0.15">
      <c r="B36" s="1192" t="s">
        <v>388</v>
      </c>
      <c r="C36" s="1192"/>
      <c r="E36" s="1192" t="s">
        <v>389</v>
      </c>
      <c r="F36" s="1192"/>
      <c r="H36" s="1180" t="s">
        <v>391</v>
      </c>
      <c r="I36" s="1180"/>
      <c r="K36" s="1181" t="s">
        <v>390</v>
      </c>
      <c r="L36" s="1182"/>
    </row>
    <row r="37" spans="2:12" ht="15" customHeight="1" thickBot="1" x14ac:dyDescent="0.2">
      <c r="B37" s="1183">
        <v>15</v>
      </c>
      <c r="C37" s="1183"/>
      <c r="D37" s="32" t="s">
        <v>104</v>
      </c>
      <c r="E37" s="1184">
        <v>12</v>
      </c>
      <c r="F37" s="1184"/>
      <c r="G37" s="32" t="s">
        <v>109</v>
      </c>
      <c r="H37" s="1185" t="e">
        <f>D27</f>
        <v>#REF!</v>
      </c>
      <c r="I37" s="1184"/>
      <c r="J37" s="32" t="s">
        <v>75</v>
      </c>
      <c r="K37" s="1186" t="e">
        <f>B37*E37/H37</f>
        <v>#REF!</v>
      </c>
      <c r="L37" s="1187"/>
    </row>
    <row r="38" spans="2:12" ht="15" customHeight="1" x14ac:dyDescent="0.15">
      <c r="B38" s="714"/>
      <c r="C38" s="714"/>
      <c r="D38" s="32"/>
      <c r="E38" s="23"/>
      <c r="F38" s="23"/>
      <c r="G38" s="32"/>
      <c r="H38" s="715"/>
      <c r="I38" s="23"/>
      <c r="J38" s="32"/>
      <c r="K38" s="716"/>
      <c r="L38" s="716"/>
    </row>
    <row r="39" spans="2:12" ht="15" customHeight="1" x14ac:dyDescent="0.15">
      <c r="B39" s="14" t="s">
        <v>393</v>
      </c>
      <c r="C39" s="1"/>
      <c r="D39" s="1"/>
      <c r="E39" s="1"/>
      <c r="F39" s="1"/>
      <c r="G39" s="1"/>
      <c r="H39" s="1"/>
      <c r="I39" s="1"/>
      <c r="J39" s="1"/>
      <c r="K39" s="1"/>
      <c r="L39" s="1"/>
    </row>
    <row r="40" spans="2:12" ht="6.95" customHeight="1" x14ac:dyDescent="0.15">
      <c r="B40" s="270"/>
      <c r="C40" s="262"/>
      <c r="D40" s="262"/>
      <c r="E40" s="262"/>
      <c r="F40" s="262"/>
      <c r="G40" s="262"/>
      <c r="H40" s="262"/>
      <c r="I40" s="262"/>
      <c r="J40" s="262"/>
      <c r="K40" s="263"/>
      <c r="L40" s="13"/>
    </row>
    <row r="41" spans="2:12" ht="15" customHeight="1" x14ac:dyDescent="0.15">
      <c r="B41" s="22"/>
      <c r="C41" s="13" t="s">
        <v>69</v>
      </c>
      <c r="D41" s="13"/>
      <c r="E41" s="13"/>
      <c r="F41" s="13"/>
      <c r="G41" s="13"/>
      <c r="H41" s="13"/>
      <c r="I41" s="13"/>
      <c r="J41" s="13"/>
      <c r="K41" s="264"/>
      <c r="L41" s="13"/>
    </row>
    <row r="42" spans="2:12" ht="15" customHeight="1" x14ac:dyDescent="0.15">
      <c r="B42" s="22"/>
      <c r="C42" s="13" t="s">
        <v>70</v>
      </c>
      <c r="D42" s="13"/>
      <c r="E42" s="13"/>
      <c r="F42" s="13"/>
      <c r="G42" s="13"/>
      <c r="H42" s="13"/>
      <c r="I42" s="13"/>
      <c r="J42" s="660" t="e">
        <f>'事業費C(還付・緊促・充100%)'!E53</f>
        <v>#REF!</v>
      </c>
      <c r="K42" s="266" t="s">
        <v>45</v>
      </c>
      <c r="L42" s="265"/>
    </row>
    <row r="43" spans="2:12" ht="15" customHeight="1" x14ac:dyDescent="0.15">
      <c r="B43" s="22"/>
      <c r="C43" s="13" t="s">
        <v>71</v>
      </c>
      <c r="D43" s="13"/>
      <c r="E43" s="13"/>
      <c r="F43" s="13"/>
      <c r="G43" s="13"/>
      <c r="H43" s="13"/>
      <c r="I43" s="13"/>
      <c r="J43" s="13"/>
      <c r="K43" s="264"/>
      <c r="L43" s="13"/>
    </row>
    <row r="44" spans="2:12" ht="15" customHeight="1" x14ac:dyDescent="0.15">
      <c r="B44" s="22"/>
      <c r="C44" s="13" t="s">
        <v>72</v>
      </c>
      <c r="D44" s="13"/>
      <c r="E44" s="13"/>
      <c r="F44" s="13"/>
      <c r="G44" s="13"/>
      <c r="H44" s="13"/>
      <c r="I44" s="13"/>
      <c r="J44" s="660" t="e">
        <f>'事業費C(還付・緊促・充100%)'!L53</f>
        <v>#REF!</v>
      </c>
      <c r="K44" s="266" t="s">
        <v>45</v>
      </c>
      <c r="L44" s="265"/>
    </row>
    <row r="45" spans="2:12" ht="15" customHeight="1" x14ac:dyDescent="0.15">
      <c r="B45" s="22"/>
      <c r="C45" s="13" t="s">
        <v>76</v>
      </c>
      <c r="D45" s="13" t="s">
        <v>77</v>
      </c>
      <c r="E45" s="13"/>
      <c r="F45" s="13"/>
      <c r="G45" s="13"/>
      <c r="H45" s="13"/>
      <c r="I45" s="13"/>
      <c r="J45" s="660"/>
      <c r="K45" s="266"/>
      <c r="L45" s="265"/>
    </row>
    <row r="46" spans="2:12" ht="15" customHeight="1" x14ac:dyDescent="0.15">
      <c r="B46" s="22"/>
      <c r="C46" s="13"/>
      <c r="D46" s="1175" t="e">
        <f>J42</f>
        <v>#REF!</v>
      </c>
      <c r="E46" s="1175"/>
      <c r="F46" s="23" t="s">
        <v>74</v>
      </c>
      <c r="G46" s="1176" t="e">
        <f>J44</f>
        <v>#REF!</v>
      </c>
      <c r="H46" s="1176"/>
      <c r="I46" s="23" t="s">
        <v>75</v>
      </c>
      <c r="J46" s="660" t="e">
        <f>D46-G46</f>
        <v>#REF!</v>
      </c>
      <c r="K46" s="266" t="s">
        <v>45</v>
      </c>
      <c r="L46" s="265"/>
    </row>
    <row r="47" spans="2:12" ht="15" customHeight="1" x14ac:dyDescent="0.15">
      <c r="B47" s="22"/>
      <c r="C47" s="694" t="s">
        <v>79</v>
      </c>
      <c r="D47" s="695" t="s">
        <v>80</v>
      </c>
      <c r="E47" s="696"/>
      <c r="F47" s="697"/>
      <c r="G47" s="698"/>
      <c r="H47" s="698"/>
      <c r="I47" s="697"/>
      <c r="J47" s="693"/>
      <c r="K47" s="268"/>
      <c r="L47" s="267"/>
    </row>
    <row r="48" spans="2:12" ht="15" customHeight="1" x14ac:dyDescent="0.15">
      <c r="B48" s="22"/>
      <c r="C48" s="694"/>
      <c r="D48" s="1177" t="e">
        <f>J46</f>
        <v>#REF!</v>
      </c>
      <c r="E48" s="1177"/>
      <c r="F48" s="697" t="s">
        <v>78</v>
      </c>
      <c r="G48" s="1178" t="e">
        <f>H6+H7</f>
        <v>#REF!</v>
      </c>
      <c r="H48" s="1178"/>
      <c r="I48" s="697" t="s">
        <v>75</v>
      </c>
      <c r="J48" s="693" t="e">
        <f>D48+G48</f>
        <v>#REF!</v>
      </c>
      <c r="K48" s="268" t="s">
        <v>45</v>
      </c>
      <c r="L48" s="267"/>
    </row>
    <row r="49" spans="2:12" ht="6.95" customHeight="1" x14ac:dyDescent="0.15">
      <c r="B49" s="132"/>
      <c r="C49" s="699"/>
      <c r="D49" s="700"/>
      <c r="E49" s="700"/>
      <c r="F49" s="701"/>
      <c r="G49" s="702"/>
      <c r="H49" s="702"/>
      <c r="I49" s="701"/>
      <c r="J49" s="703"/>
      <c r="K49" s="704"/>
      <c r="L49" s="267"/>
    </row>
    <row r="50" spans="2:12" ht="7.5" customHeight="1" x14ac:dyDescent="0.15">
      <c r="B50" s="269"/>
      <c r="C50" s="269"/>
      <c r="D50" s="269"/>
      <c r="E50" s="269"/>
      <c r="F50" s="269"/>
      <c r="G50" s="269"/>
      <c r="H50" s="269"/>
      <c r="I50" s="269"/>
      <c r="J50" s="269"/>
      <c r="K50" s="269"/>
      <c r="L50" s="14"/>
    </row>
    <row r="51" spans="2:12" x14ac:dyDescent="0.15">
      <c r="C51" s="14"/>
      <c r="D51" s="14"/>
      <c r="E51" s="14"/>
      <c r="F51" s="14"/>
      <c r="G51" s="14"/>
      <c r="H51" s="14"/>
      <c r="I51" s="14"/>
      <c r="J51" s="14"/>
      <c r="K51" s="14"/>
      <c r="L51" s="14"/>
    </row>
    <row r="52" spans="2:12" ht="13.5" customHeight="1" x14ac:dyDescent="0.15">
      <c r="B52" s="1169"/>
      <c r="C52" s="1169"/>
      <c r="D52" s="1169"/>
      <c r="E52" s="1179"/>
      <c r="F52" s="1170"/>
      <c r="G52" s="1170"/>
      <c r="H52" s="1169"/>
      <c r="I52" s="1169"/>
      <c r="J52" s="23"/>
    </row>
    <row r="53" spans="2:12" x14ac:dyDescent="0.15">
      <c r="B53" s="1169"/>
      <c r="C53" s="1169"/>
      <c r="D53" s="1169"/>
      <c r="E53" s="1169"/>
      <c r="F53" s="659"/>
      <c r="G53" s="659"/>
      <c r="H53" s="23"/>
      <c r="I53" s="23"/>
      <c r="J53" s="23"/>
    </row>
    <row r="54" spans="2:12" x14ac:dyDescent="0.15">
      <c r="B54" s="1172"/>
      <c r="C54" s="1172"/>
      <c r="D54" s="668"/>
      <c r="E54" s="669"/>
      <c r="F54" s="670"/>
      <c r="G54" s="670"/>
      <c r="H54" s="669"/>
      <c r="I54" s="669"/>
      <c r="J54" s="671"/>
    </row>
    <row r="55" spans="2:12" x14ac:dyDescent="0.15">
      <c r="B55" s="1173"/>
      <c r="C55" s="1173"/>
      <c r="D55" s="672"/>
      <c r="E55" s="673"/>
      <c r="F55" s="674"/>
      <c r="G55" s="674"/>
      <c r="H55" s="673"/>
      <c r="I55" s="673"/>
      <c r="J55" s="675"/>
    </row>
    <row r="56" spans="2:12" x14ac:dyDescent="0.15">
      <c r="B56" s="1174"/>
      <c r="C56" s="1174"/>
      <c r="D56" s="676"/>
      <c r="E56" s="677"/>
      <c r="F56" s="678"/>
      <c r="G56" s="678"/>
      <c r="H56" s="677"/>
      <c r="I56" s="677"/>
      <c r="J56" s="679"/>
    </row>
    <row r="57" spans="2:12" x14ac:dyDescent="0.15">
      <c r="B57" s="1169"/>
      <c r="C57" s="1169"/>
      <c r="D57" s="1169"/>
      <c r="E57" s="643"/>
      <c r="F57" s="664"/>
      <c r="G57" s="664"/>
      <c r="H57" s="643"/>
      <c r="I57" s="643"/>
      <c r="J57" s="13"/>
    </row>
    <row r="58" spans="2:12" x14ac:dyDescent="0.15">
      <c r="B58" s="1"/>
      <c r="D58" s="14"/>
      <c r="E58" s="24"/>
      <c r="F58" s="24"/>
      <c r="G58" s="14"/>
      <c r="H58" s="14"/>
      <c r="I58" s="14"/>
      <c r="J58" s="14"/>
      <c r="K58" s="28"/>
    </row>
    <row r="59" spans="2:12" x14ac:dyDescent="0.15">
      <c r="B59" s="1"/>
      <c r="D59" s="14"/>
      <c r="E59" s="24"/>
      <c r="F59" s="24"/>
      <c r="G59" s="14"/>
      <c r="H59" s="14"/>
      <c r="I59" s="14"/>
      <c r="J59" s="14"/>
      <c r="K59" s="28"/>
    </row>
    <row r="60" spans="2:12" x14ac:dyDescent="0.15">
      <c r="B60" s="1"/>
      <c r="D60" s="14"/>
      <c r="E60" s="24"/>
      <c r="F60" s="24"/>
      <c r="G60" s="14"/>
      <c r="H60" s="14"/>
      <c r="I60" s="14"/>
      <c r="J60" s="14"/>
      <c r="K60" s="28"/>
    </row>
    <row r="61" spans="2:12" x14ac:dyDescent="0.15">
      <c r="B61" s="1"/>
      <c r="D61" s="14"/>
      <c r="E61" s="24"/>
      <c r="F61" s="24"/>
      <c r="G61" s="14"/>
      <c r="H61" s="100"/>
      <c r="I61" s="14"/>
      <c r="J61" s="14"/>
      <c r="K61" s="28"/>
    </row>
    <row r="62" spans="2:12" x14ac:dyDescent="0.15">
      <c r="B62" s="1"/>
      <c r="D62" s="14"/>
      <c r="E62" s="24"/>
      <c r="F62" s="24"/>
      <c r="G62" s="14"/>
      <c r="H62" s="14"/>
      <c r="I62" s="14"/>
      <c r="J62" s="14"/>
      <c r="K62" s="28"/>
    </row>
    <row r="63" spans="2:12" x14ac:dyDescent="0.15">
      <c r="B63" s="1"/>
      <c r="D63" s="14"/>
      <c r="E63" s="24"/>
      <c r="F63" s="24"/>
      <c r="G63" s="14"/>
      <c r="H63" s="14"/>
      <c r="I63" s="14"/>
      <c r="J63" s="14"/>
      <c r="K63" s="28"/>
    </row>
    <row r="64" spans="2:12" x14ac:dyDescent="0.15">
      <c r="B64" s="13"/>
    </row>
    <row r="65" spans="2:14" x14ac:dyDescent="0.15">
      <c r="B65" s="1169"/>
      <c r="C65" s="1169"/>
      <c r="D65" s="1169"/>
      <c r="E65" s="1105"/>
      <c r="F65" s="1170"/>
      <c r="G65" s="1170"/>
      <c r="H65" s="1105"/>
      <c r="I65" s="1105"/>
      <c r="J65" s="1171"/>
      <c r="K65" s="1105"/>
      <c r="L65" s="1105"/>
      <c r="M65" s="1169"/>
    </row>
    <row r="66" spans="2:14" x14ac:dyDescent="0.15">
      <c r="B66" s="1169"/>
      <c r="C66" s="1169"/>
      <c r="D66" s="1169"/>
      <c r="E66" s="1105"/>
      <c r="F66" s="659"/>
      <c r="G66" s="659"/>
      <c r="H66" s="1105"/>
      <c r="I66" s="1105"/>
      <c r="J66" s="1105"/>
      <c r="M66" s="1169"/>
    </row>
    <row r="67" spans="2:14" x14ac:dyDescent="0.15">
      <c r="B67" s="1169"/>
      <c r="C67" s="1169"/>
      <c r="D67" s="23"/>
      <c r="F67" s="660"/>
      <c r="G67" s="660"/>
      <c r="H67" s="1105"/>
      <c r="I67" s="1105"/>
      <c r="J67" s="661"/>
      <c r="K67" s="661"/>
      <c r="L67" s="661"/>
      <c r="M67" s="662"/>
      <c r="N67" s="663"/>
    </row>
    <row r="68" spans="2:14" x14ac:dyDescent="0.15">
      <c r="B68" s="1169"/>
      <c r="C68" s="1169"/>
      <c r="D68" s="23"/>
      <c r="F68" s="660"/>
      <c r="G68" s="660"/>
      <c r="H68" s="1105"/>
      <c r="I68" s="1105"/>
      <c r="J68" s="661"/>
      <c r="K68" s="661"/>
      <c r="L68" s="661"/>
      <c r="M68" s="661"/>
    </row>
    <row r="69" spans="2:14" x14ac:dyDescent="0.15">
      <c r="B69" s="1169"/>
      <c r="C69" s="1169"/>
      <c r="D69" s="23"/>
      <c r="F69" s="660"/>
      <c r="G69" s="660"/>
      <c r="H69" s="1105"/>
      <c r="I69" s="1105"/>
      <c r="J69" s="661"/>
      <c r="K69" s="661"/>
      <c r="L69" s="661"/>
      <c r="M69" s="514"/>
    </row>
    <row r="70" spans="2:14" x14ac:dyDescent="0.15">
      <c r="B70" s="1169"/>
      <c r="C70" s="1169"/>
      <c r="D70" s="23"/>
      <c r="F70" s="660"/>
      <c r="G70" s="660"/>
      <c r="H70" s="1105"/>
      <c r="I70" s="1105"/>
      <c r="J70" s="661"/>
      <c r="K70" s="661"/>
      <c r="L70" s="661"/>
      <c r="M70" s="514"/>
    </row>
    <row r="71" spans="2:14" x14ac:dyDescent="0.15">
      <c r="B71" s="1169"/>
      <c r="C71" s="1169"/>
      <c r="D71" s="1169"/>
      <c r="F71" s="664"/>
      <c r="G71" s="664"/>
      <c r="H71" s="1105"/>
      <c r="I71" s="1105"/>
      <c r="J71" s="87"/>
      <c r="K71" s="661"/>
      <c r="L71" s="661"/>
    </row>
  </sheetData>
  <mergeCells count="53">
    <mergeCell ref="K1:M1"/>
    <mergeCell ref="B5:C5"/>
    <mergeCell ref="D5:E5"/>
    <mergeCell ref="F5:G5"/>
    <mergeCell ref="H5:I5"/>
    <mergeCell ref="J5:K5"/>
    <mergeCell ref="B6:C6"/>
    <mergeCell ref="B7:C7"/>
    <mergeCell ref="B11:C12"/>
    <mergeCell ref="H11:H12"/>
    <mergeCell ref="B16:B20"/>
    <mergeCell ref="B21:B24"/>
    <mergeCell ref="B25:B27"/>
    <mergeCell ref="B30:B32"/>
    <mergeCell ref="B36:C36"/>
    <mergeCell ref="E36:F36"/>
    <mergeCell ref="H36:I36"/>
    <mergeCell ref="K36:L36"/>
    <mergeCell ref="B37:C37"/>
    <mergeCell ref="E37:F37"/>
    <mergeCell ref="H37:I37"/>
    <mergeCell ref="K37:L37"/>
    <mergeCell ref="D46:E46"/>
    <mergeCell ref="G46:H46"/>
    <mergeCell ref="D48:E48"/>
    <mergeCell ref="G48:H48"/>
    <mergeCell ref="B52:C53"/>
    <mergeCell ref="D52:D53"/>
    <mergeCell ref="E52:E53"/>
    <mergeCell ref="F52:G52"/>
    <mergeCell ref="H52:I52"/>
    <mergeCell ref="B54:C54"/>
    <mergeCell ref="B55:C55"/>
    <mergeCell ref="B56:C56"/>
    <mergeCell ref="B57:D57"/>
    <mergeCell ref="B65:C66"/>
    <mergeCell ref="D65:D66"/>
    <mergeCell ref="M65:M66"/>
    <mergeCell ref="B70:C70"/>
    <mergeCell ref="H70:I70"/>
    <mergeCell ref="B71:D71"/>
    <mergeCell ref="H71:I71"/>
    <mergeCell ref="B67:C67"/>
    <mergeCell ref="H67:I67"/>
    <mergeCell ref="B68:C68"/>
    <mergeCell ref="H68:I68"/>
    <mergeCell ref="B69:C69"/>
    <mergeCell ref="H69:I69"/>
    <mergeCell ref="E65:E66"/>
    <mergeCell ref="F65:G65"/>
    <mergeCell ref="H65:I66"/>
    <mergeCell ref="J65:J66"/>
    <mergeCell ref="K65:L65"/>
  </mergeCells>
  <phoneticPr fontId="2"/>
  <pageMargins left="0.43307086614173229" right="0.23622047244094491" top="0.74803149606299213" bottom="0.7480314960629921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pageSetUpPr fitToPage="1"/>
  </sheetPr>
  <dimension ref="A1:S59"/>
  <sheetViews>
    <sheetView workbookViewId="0"/>
  </sheetViews>
  <sheetFormatPr defaultColWidth="9" defaultRowHeight="10.5" x14ac:dyDescent="0.15"/>
  <cols>
    <col min="1" max="1" width="3.125" style="1" customWidth="1"/>
    <col min="2" max="2" width="20.5" style="1" customWidth="1"/>
    <col min="3" max="3" width="9.875" style="1" bestFit="1" customWidth="1"/>
    <col min="4" max="4" width="10.125" style="1" bestFit="1" customWidth="1"/>
    <col min="5" max="5" width="9.75" style="1" bestFit="1" customWidth="1"/>
    <col min="6" max="6" width="39" style="1" customWidth="1"/>
    <col min="7" max="7" width="9.125" style="1" customWidth="1"/>
    <col min="8" max="8" width="9.75" style="1" bestFit="1" customWidth="1"/>
    <col min="9" max="9" width="9" style="1" bestFit="1" customWidth="1"/>
    <col min="10" max="10" width="7.25" style="1" customWidth="1"/>
    <col min="11" max="11" width="5.125" style="1" customWidth="1"/>
    <col min="12" max="12" width="8.75" style="1" customWidth="1"/>
    <col min="13" max="13" width="27" style="1" customWidth="1"/>
    <col min="14" max="14" width="9.125" style="1" customWidth="1"/>
    <col min="15" max="15" width="9.25" style="1" customWidth="1"/>
    <col min="16" max="16" width="9.125" style="1" bestFit="1" customWidth="1"/>
    <col min="17" max="17" width="9.75" style="1" bestFit="1" customWidth="1"/>
    <col min="18" max="19" width="9.125" style="1" bestFit="1" customWidth="1"/>
    <col min="20" max="16384" width="9" style="1"/>
  </cols>
  <sheetData>
    <row r="1" spans="1:19" ht="17.25" customHeight="1" x14ac:dyDescent="0.15">
      <c r="A1" s="387" t="s">
        <v>426</v>
      </c>
      <c r="B1" s="406"/>
      <c r="C1" s="406"/>
      <c r="D1" s="406"/>
      <c r="E1" s="406"/>
      <c r="F1" s="406"/>
      <c r="G1" s="406"/>
      <c r="H1" s="406"/>
      <c r="I1" s="406"/>
      <c r="J1" s="406"/>
      <c r="K1" s="406"/>
      <c r="L1" s="406"/>
      <c r="M1" s="953">
        <f ca="1">TODAY()</f>
        <v>45398</v>
      </c>
      <c r="N1" s="953"/>
      <c r="O1" s="953"/>
    </row>
    <row r="2" spans="1:19" ht="3.75" customHeight="1" x14ac:dyDescent="0.15"/>
    <row r="3" spans="1:19" ht="14.25" customHeight="1" x14ac:dyDescent="0.15">
      <c r="A3" s="480"/>
      <c r="B3" s="1164" t="s">
        <v>155</v>
      </c>
      <c r="C3" s="1165"/>
      <c r="D3" s="1165"/>
      <c r="E3" s="1165"/>
      <c r="F3" s="1165"/>
      <c r="G3" s="1165"/>
      <c r="H3" s="1166"/>
      <c r="I3" s="1165" t="s">
        <v>156</v>
      </c>
      <c r="J3" s="1165"/>
      <c r="K3" s="1165"/>
      <c r="L3" s="1165"/>
      <c r="M3" s="1165"/>
      <c r="N3" s="1165"/>
      <c r="O3" s="1167"/>
      <c r="P3" s="1132" t="s">
        <v>157</v>
      </c>
      <c r="Q3" s="1168"/>
      <c r="R3" s="1168" t="s">
        <v>62</v>
      </c>
      <c r="S3" s="1168"/>
    </row>
    <row r="4" spans="1:19" ht="15" customHeight="1" thickBot="1" x14ac:dyDescent="0.2">
      <c r="A4" s="481"/>
      <c r="B4" s="134" t="s">
        <v>65</v>
      </c>
      <c r="C4" s="134" t="s">
        <v>4</v>
      </c>
      <c r="D4" s="134" t="s">
        <v>5</v>
      </c>
      <c r="E4" s="134" t="s">
        <v>6</v>
      </c>
      <c r="F4" s="135" t="s">
        <v>158</v>
      </c>
      <c r="G4" s="134" t="s">
        <v>48</v>
      </c>
      <c r="H4" s="135" t="s">
        <v>51</v>
      </c>
      <c r="I4" s="136" t="s">
        <v>159</v>
      </c>
      <c r="J4" s="134" t="s">
        <v>39</v>
      </c>
      <c r="K4" s="559" t="s">
        <v>352</v>
      </c>
      <c r="L4" s="134" t="s">
        <v>40</v>
      </c>
      <c r="M4" s="135" t="s">
        <v>158</v>
      </c>
      <c r="N4" s="134" t="s">
        <v>48</v>
      </c>
      <c r="O4" s="134" t="s">
        <v>51</v>
      </c>
      <c r="P4" s="2" t="s">
        <v>48</v>
      </c>
      <c r="Q4" s="2" t="s">
        <v>51</v>
      </c>
      <c r="R4" s="2" t="s">
        <v>48</v>
      </c>
      <c r="S4" s="2" t="s">
        <v>51</v>
      </c>
    </row>
    <row r="5" spans="1:19" ht="15" customHeight="1" thickTop="1" x14ac:dyDescent="0.15">
      <c r="A5" s="904" t="s">
        <v>0</v>
      </c>
      <c r="B5" s="137" t="s">
        <v>3</v>
      </c>
      <c r="C5" s="138"/>
      <c r="D5" s="718"/>
      <c r="E5" s="719">
        <f>20+84</f>
        <v>104</v>
      </c>
      <c r="F5" s="140" t="s">
        <v>380</v>
      </c>
      <c r="G5" s="141" t="e">
        <f>E5*$P$6</f>
        <v>#REF!</v>
      </c>
      <c r="H5" s="142" t="e">
        <f>E5*$Q$6</f>
        <v>#REF!</v>
      </c>
      <c r="I5" s="143">
        <f t="shared" ref="I5:I10" si="0">E5</f>
        <v>104</v>
      </c>
      <c r="J5" s="144">
        <v>0.66666666666666663</v>
      </c>
      <c r="K5" s="744">
        <v>1</v>
      </c>
      <c r="L5" s="139">
        <f t="shared" ref="L5:L10" si="1">I5*J5*K5</f>
        <v>69.333333333333329</v>
      </c>
      <c r="M5" s="140"/>
      <c r="N5" s="141" t="e">
        <f>L5*$P$6</f>
        <v>#REF!</v>
      </c>
      <c r="O5" s="141" t="e">
        <f>L5*$Q$6</f>
        <v>#REF!</v>
      </c>
      <c r="P5" s="12" t="e">
        <f>SUM(G19,G30,G43)</f>
        <v>#REF!</v>
      </c>
      <c r="Q5" s="12" t="e">
        <f>SUM(H6:H9,H19,H30,H43)</f>
        <v>#REF!</v>
      </c>
      <c r="R5" s="12" t="e">
        <f>SUM(N19,N30,N43)</f>
        <v>#REF!</v>
      </c>
      <c r="S5" s="12" t="e">
        <f>SUM(O6:O8,O19,O30,O43)</f>
        <v>#REF!</v>
      </c>
    </row>
    <row r="6" spans="1:19" ht="15" customHeight="1" x14ac:dyDescent="0.15">
      <c r="A6" s="905"/>
      <c r="B6" s="146" t="s">
        <v>7</v>
      </c>
      <c r="C6" s="147"/>
      <c r="D6" s="720"/>
      <c r="E6" s="721" t="e">
        <f>#REF!/1000</f>
        <v>#REF!</v>
      </c>
      <c r="F6" s="148" t="s">
        <v>350</v>
      </c>
      <c r="G6" s="149"/>
      <c r="H6" s="150" t="e">
        <f>E6</f>
        <v>#REF!</v>
      </c>
      <c r="I6" s="151" t="e">
        <f t="shared" si="0"/>
        <v>#REF!</v>
      </c>
      <c r="J6" s="152">
        <f>$J$5</f>
        <v>0.66666666666666663</v>
      </c>
      <c r="K6" s="745">
        <f>$K$5</f>
        <v>1</v>
      </c>
      <c r="L6" s="147" t="e">
        <f t="shared" si="1"/>
        <v>#REF!</v>
      </c>
      <c r="M6" s="148"/>
      <c r="N6" s="149"/>
      <c r="O6" s="149" t="e">
        <f>L6</f>
        <v>#REF!</v>
      </c>
      <c r="P6" s="154" t="e">
        <f>P5/(P5+Q5)</f>
        <v>#REF!</v>
      </c>
      <c r="Q6" s="154" t="e">
        <f>1-P6</f>
        <v>#REF!</v>
      </c>
      <c r="R6" s="154" t="e">
        <f>R5/(R5+S5)</f>
        <v>#REF!</v>
      </c>
      <c r="S6" s="154" t="e">
        <f>1-R6</f>
        <v>#REF!</v>
      </c>
    </row>
    <row r="7" spans="1:19" ht="15" customHeight="1" x14ac:dyDescent="0.15">
      <c r="A7" s="905"/>
      <c r="B7" s="146" t="s">
        <v>8</v>
      </c>
      <c r="C7" s="155">
        <v>4</v>
      </c>
      <c r="D7" s="722">
        <v>1500</v>
      </c>
      <c r="E7" s="721">
        <f>C7*D7/1000</f>
        <v>6</v>
      </c>
      <c r="F7" s="148" t="s">
        <v>113</v>
      </c>
      <c r="G7" s="149"/>
      <c r="H7" s="150">
        <f>E7</f>
        <v>6</v>
      </c>
      <c r="I7" s="151">
        <f t="shared" si="0"/>
        <v>6</v>
      </c>
      <c r="J7" s="152">
        <f>$J$5</f>
        <v>0.66666666666666663</v>
      </c>
      <c r="K7" s="745">
        <f>$K$5</f>
        <v>1</v>
      </c>
      <c r="L7" s="147">
        <f t="shared" si="1"/>
        <v>4</v>
      </c>
      <c r="M7" s="148"/>
      <c r="N7" s="149"/>
      <c r="O7" s="149">
        <f>L7</f>
        <v>4</v>
      </c>
    </row>
    <row r="8" spans="1:19" ht="15" customHeight="1" x14ac:dyDescent="0.15">
      <c r="A8" s="905"/>
      <c r="B8" s="146" t="s">
        <v>9</v>
      </c>
      <c r="C8" s="147"/>
      <c r="D8" s="720"/>
      <c r="E8" s="721" t="e">
        <f>#REF!/1000</f>
        <v>#REF!</v>
      </c>
      <c r="F8" s="148" t="s">
        <v>350</v>
      </c>
      <c r="G8" s="149"/>
      <c r="H8" s="150" t="e">
        <f>E8</f>
        <v>#REF!</v>
      </c>
      <c r="I8" s="151" t="e">
        <f t="shared" si="0"/>
        <v>#REF!</v>
      </c>
      <c r="J8" s="152">
        <f>$J$5</f>
        <v>0.66666666666666663</v>
      </c>
      <c r="K8" s="745">
        <f>$K$5</f>
        <v>1</v>
      </c>
      <c r="L8" s="147" t="e">
        <f t="shared" si="1"/>
        <v>#REF!</v>
      </c>
      <c r="M8" s="148"/>
      <c r="N8" s="149"/>
      <c r="O8" s="149" t="e">
        <f>L8</f>
        <v>#REF!</v>
      </c>
    </row>
    <row r="9" spans="1:19" ht="15" customHeight="1" x14ac:dyDescent="0.15">
      <c r="A9" s="905"/>
      <c r="B9" s="146" t="s">
        <v>330</v>
      </c>
      <c r="C9" s="147"/>
      <c r="D9" s="720"/>
      <c r="E9" s="721" t="e">
        <f>'監理料(告示98号）'!T85/1000</f>
        <v>#REF!</v>
      </c>
      <c r="F9" s="148" t="s">
        <v>350</v>
      </c>
      <c r="G9" s="149"/>
      <c r="H9" s="150" t="e">
        <f>E9</f>
        <v>#REF!</v>
      </c>
      <c r="I9" s="151" t="e">
        <f t="shared" si="0"/>
        <v>#REF!</v>
      </c>
      <c r="J9" s="152">
        <f>$J$5</f>
        <v>0.66666666666666663</v>
      </c>
      <c r="K9" s="745">
        <f>$K$5</f>
        <v>1</v>
      </c>
      <c r="L9" s="147" t="e">
        <f t="shared" si="1"/>
        <v>#REF!</v>
      </c>
      <c r="M9" s="148"/>
      <c r="N9" s="149"/>
      <c r="O9" s="149" t="e">
        <f>L9</f>
        <v>#REF!</v>
      </c>
    </row>
    <row r="10" spans="1:19" ht="15" customHeight="1" x14ac:dyDescent="0.15">
      <c r="A10" s="905"/>
      <c r="B10" s="146" t="s">
        <v>10</v>
      </c>
      <c r="C10" s="156" t="e">
        <f>#REF!</f>
        <v>#REF!</v>
      </c>
      <c r="D10" s="157">
        <v>25</v>
      </c>
      <c r="E10" s="721" t="e">
        <f>C10*D10/1000</f>
        <v>#REF!</v>
      </c>
      <c r="F10" s="148" t="s">
        <v>115</v>
      </c>
      <c r="G10" s="149" t="e">
        <f>E10*$P$6</f>
        <v>#REF!</v>
      </c>
      <c r="H10" s="150" t="e">
        <f>E10*$Q$6</f>
        <v>#REF!</v>
      </c>
      <c r="I10" s="151" t="e">
        <f t="shared" si="0"/>
        <v>#REF!</v>
      </c>
      <c r="J10" s="152">
        <f>$J$5</f>
        <v>0.66666666666666663</v>
      </c>
      <c r="K10" s="745">
        <f>$K$5</f>
        <v>1</v>
      </c>
      <c r="L10" s="147" t="e">
        <f t="shared" si="1"/>
        <v>#REF!</v>
      </c>
      <c r="M10" s="148"/>
      <c r="N10" s="149" t="e">
        <f>L10*$P$6</f>
        <v>#REF!</v>
      </c>
      <c r="O10" s="149" t="e">
        <f>L10*$Q$6</f>
        <v>#REF!</v>
      </c>
    </row>
    <row r="11" spans="1:19" ht="15" customHeight="1" x14ac:dyDescent="0.15">
      <c r="A11" s="905"/>
      <c r="B11" s="146" t="s">
        <v>11</v>
      </c>
      <c r="C11" s="156" t="e">
        <f>#REF!</f>
        <v>#REF!</v>
      </c>
      <c r="D11" s="157">
        <v>5</v>
      </c>
      <c r="E11" s="147" t="e">
        <f>C11*D11/1000</f>
        <v>#REF!</v>
      </c>
      <c r="F11" s="148" t="s">
        <v>115</v>
      </c>
      <c r="G11" s="149" t="e">
        <f>E11*$P$6</f>
        <v>#REF!</v>
      </c>
      <c r="H11" s="150" t="e">
        <f>E11*$Q$6</f>
        <v>#REF!</v>
      </c>
      <c r="I11" s="151">
        <v>0</v>
      </c>
      <c r="J11" s="152"/>
      <c r="K11" s="153"/>
      <c r="L11" s="147"/>
      <c r="M11" s="148"/>
      <c r="N11" s="149"/>
      <c r="O11" s="149"/>
    </row>
    <row r="12" spans="1:19" ht="15" customHeight="1" x14ac:dyDescent="0.15">
      <c r="A12" s="905"/>
      <c r="B12" s="158" t="s">
        <v>127</v>
      </c>
      <c r="C12" s="159" t="e">
        <f>SUM(E5:E11)</f>
        <v>#REF!</v>
      </c>
      <c r="D12" s="160">
        <v>0.1</v>
      </c>
      <c r="E12" s="159" t="e">
        <f>C12*D12</f>
        <v>#REF!</v>
      </c>
      <c r="F12" s="161"/>
      <c r="G12" s="162" t="e">
        <f>SUM(G5:G11)*$D$12</f>
        <v>#REF!</v>
      </c>
      <c r="H12" s="163" t="e">
        <f>SUM(H5:H11)*$D$12</f>
        <v>#REF!</v>
      </c>
      <c r="I12" s="151">
        <v>0</v>
      </c>
      <c r="J12" s="165"/>
      <c r="K12" s="166"/>
      <c r="L12" s="159"/>
      <c r="M12" s="161"/>
      <c r="N12" s="162"/>
      <c r="O12" s="162"/>
    </row>
    <row r="13" spans="1:19" ht="15" customHeight="1" x14ac:dyDescent="0.15">
      <c r="A13" s="906"/>
      <c r="B13" s="9" t="s">
        <v>12</v>
      </c>
      <c r="C13" s="10"/>
      <c r="D13" s="9"/>
      <c r="E13" s="11" t="e">
        <f>SUM(E5:E12)</f>
        <v>#REF!</v>
      </c>
      <c r="F13" s="167"/>
      <c r="G13" s="168" t="e">
        <f>SUM(G5:G12)</f>
        <v>#REF!</v>
      </c>
      <c r="H13" s="169" t="e">
        <f>SUM(H5:H12)</f>
        <v>#REF!</v>
      </c>
      <c r="I13" s="170" t="e">
        <f>SUM(I5:I12)</f>
        <v>#REF!</v>
      </c>
      <c r="J13" s="171"/>
      <c r="K13" s="172"/>
      <c r="L13" s="11" t="e">
        <f>SUM(L5:L12)</f>
        <v>#REF!</v>
      </c>
      <c r="M13" s="167"/>
      <c r="N13" s="168" t="e">
        <f>SUM(N5:N12)</f>
        <v>#REF!</v>
      </c>
      <c r="O13" s="168" t="e">
        <f>SUM(O5:O12)</f>
        <v>#REF!</v>
      </c>
    </row>
    <row r="14" spans="1:19" ht="15" customHeight="1" x14ac:dyDescent="0.15">
      <c r="A14" s="904" t="s">
        <v>1</v>
      </c>
      <c r="B14" s="173" t="s">
        <v>160</v>
      </c>
      <c r="C14" s="174" t="e">
        <f>#REF!</f>
        <v>#REF!</v>
      </c>
      <c r="D14" s="175">
        <v>15</v>
      </c>
      <c r="E14" s="4" t="e">
        <f>C14*D14/1000</f>
        <v>#REF!</v>
      </c>
      <c r="F14" s="177" t="s">
        <v>177</v>
      </c>
      <c r="G14" s="193" t="e">
        <f>E14</f>
        <v>#REF!</v>
      </c>
      <c r="H14" s="179"/>
      <c r="I14" s="180" t="e">
        <f>E14</f>
        <v>#REF!</v>
      </c>
      <c r="J14" s="470" t="e">
        <f>#REF!</f>
        <v>#REF!</v>
      </c>
      <c r="K14" s="748">
        <f>$K$5</f>
        <v>1</v>
      </c>
      <c r="L14" s="176" t="e">
        <f>I14*J14*K14</f>
        <v>#REF!</v>
      </c>
      <c r="M14" s="177"/>
      <c r="N14" s="178" t="e">
        <f>L14</f>
        <v>#REF!</v>
      </c>
      <c r="O14" s="178"/>
    </row>
    <row r="15" spans="1:19" ht="15" customHeight="1" x14ac:dyDescent="0.15">
      <c r="A15" s="905"/>
      <c r="B15" s="146" t="s">
        <v>165</v>
      </c>
      <c r="C15" s="156" t="e">
        <f>#REF!</f>
        <v>#REF!</v>
      </c>
      <c r="D15" s="182">
        <v>15</v>
      </c>
      <c r="E15" s="147" t="e">
        <f>C15*D15/1000</f>
        <v>#REF!</v>
      </c>
      <c r="F15" s="148" t="s">
        <v>178</v>
      </c>
      <c r="G15" s="219" t="e">
        <f>E15</f>
        <v>#REF!</v>
      </c>
      <c r="H15" s="150"/>
      <c r="I15" s="151" t="e">
        <f>E15</f>
        <v>#REF!</v>
      </c>
      <c r="J15" s="471" t="e">
        <f>#REF!</f>
        <v>#REF!</v>
      </c>
      <c r="K15" s="745">
        <f>$K$5</f>
        <v>1</v>
      </c>
      <c r="L15" s="147" t="e">
        <f>I15*J15*K15</f>
        <v>#REF!</v>
      </c>
      <c r="M15" s="148"/>
      <c r="N15" s="149" t="e">
        <f>L15</f>
        <v>#REF!</v>
      </c>
      <c r="O15" s="149"/>
    </row>
    <row r="16" spans="1:19" ht="15" customHeight="1" x14ac:dyDescent="0.15">
      <c r="A16" s="905"/>
      <c r="B16" s="146" t="s">
        <v>166</v>
      </c>
      <c r="C16" s="156" t="e">
        <f>#REF!</f>
        <v>#REF!</v>
      </c>
      <c r="D16" s="182">
        <v>45</v>
      </c>
      <c r="E16" s="147" t="e">
        <f>C16*D16/1000</f>
        <v>#REF!</v>
      </c>
      <c r="F16" s="148" t="s">
        <v>179</v>
      </c>
      <c r="G16" s="149" t="e">
        <f>E16</f>
        <v>#REF!</v>
      </c>
      <c r="H16" s="150"/>
      <c r="I16" s="143" t="e">
        <f>E16</f>
        <v>#REF!</v>
      </c>
      <c r="J16" s="471" t="e">
        <f>#REF!</f>
        <v>#REF!</v>
      </c>
      <c r="K16" s="744">
        <f>$K$5</f>
        <v>1</v>
      </c>
      <c r="L16" s="139" t="e">
        <f>I16*J16*K16</f>
        <v>#REF!</v>
      </c>
      <c r="M16" s="148"/>
      <c r="N16" s="141" t="e">
        <f>L16</f>
        <v>#REF!</v>
      </c>
      <c r="O16" s="141"/>
    </row>
    <row r="17" spans="1:15" ht="15" customHeight="1" x14ac:dyDescent="0.15">
      <c r="A17" s="905"/>
      <c r="B17" s="146" t="s">
        <v>13</v>
      </c>
      <c r="C17" s="156" t="e">
        <f>#REF!</f>
        <v>#REF!</v>
      </c>
      <c r="D17" s="182">
        <v>1</v>
      </c>
      <c r="E17" s="147" t="e">
        <f>C17*D17/1000</f>
        <v>#REF!</v>
      </c>
      <c r="F17" s="148" t="s">
        <v>16</v>
      </c>
      <c r="G17" s="149" t="e">
        <f>E17</f>
        <v>#REF!</v>
      </c>
      <c r="H17" s="150"/>
      <c r="I17" s="151" t="e">
        <f>E17</f>
        <v>#REF!</v>
      </c>
      <c r="J17" s="471" t="e">
        <f>#REF!</f>
        <v>#REF!</v>
      </c>
      <c r="K17" s="745">
        <f>$K$5</f>
        <v>1</v>
      </c>
      <c r="L17" s="147" t="e">
        <f>I17*J17*K17</f>
        <v>#REF!</v>
      </c>
      <c r="M17" s="148"/>
      <c r="N17" s="149" t="e">
        <f>L17</f>
        <v>#REF!</v>
      </c>
      <c r="O17" s="149"/>
    </row>
    <row r="18" spans="1:15" ht="15" customHeight="1" x14ac:dyDescent="0.15">
      <c r="A18" s="905"/>
      <c r="B18" s="158" t="s">
        <v>127</v>
      </c>
      <c r="C18" s="159" t="e">
        <f>SUM(E14:E17)</f>
        <v>#REF!</v>
      </c>
      <c r="D18" s="724">
        <v>0.1</v>
      </c>
      <c r="E18" s="159" t="e">
        <f>C18*D18</f>
        <v>#REF!</v>
      </c>
      <c r="F18" s="161"/>
      <c r="G18" s="162" t="e">
        <f>E18</f>
        <v>#REF!</v>
      </c>
      <c r="H18" s="163"/>
      <c r="I18" s="164">
        <v>0</v>
      </c>
      <c r="J18" s="472"/>
      <c r="K18" s="166"/>
      <c r="L18" s="159"/>
      <c r="M18" s="161"/>
      <c r="N18" s="162"/>
      <c r="O18" s="162"/>
    </row>
    <row r="19" spans="1:15" ht="15" customHeight="1" x14ac:dyDescent="0.15">
      <c r="A19" s="906"/>
      <c r="B19" s="9" t="s">
        <v>14</v>
      </c>
      <c r="C19" s="10"/>
      <c r="D19" s="9"/>
      <c r="E19" s="11" t="e">
        <f>SUM(E14:E18)</f>
        <v>#REF!</v>
      </c>
      <c r="F19" s="167"/>
      <c r="G19" s="168" t="e">
        <f>SUM(G14:G18)</f>
        <v>#REF!</v>
      </c>
      <c r="H19" s="169">
        <f>SUM(H14:H18)</f>
        <v>0</v>
      </c>
      <c r="I19" s="170" t="e">
        <f>SUM(I14:I18)</f>
        <v>#REF!</v>
      </c>
      <c r="J19" s="473"/>
      <c r="K19" s="172"/>
      <c r="L19" s="11" t="e">
        <f>SUM(L14:L18)</f>
        <v>#REF!</v>
      </c>
      <c r="M19" s="167"/>
      <c r="N19" s="168" t="e">
        <f>SUM(N14:N18)</f>
        <v>#REF!</v>
      </c>
      <c r="O19" s="168">
        <f>SUM(O14:O18)</f>
        <v>0</v>
      </c>
    </row>
    <row r="20" spans="1:15" ht="15" customHeight="1" x14ac:dyDescent="0.15">
      <c r="A20" s="904" t="s">
        <v>2</v>
      </c>
      <c r="B20" s="173" t="s">
        <v>17</v>
      </c>
      <c r="C20" s="176"/>
      <c r="D20" s="183"/>
      <c r="E20" s="176" t="e">
        <f>#REF!</f>
        <v>#REF!</v>
      </c>
      <c r="F20" s="173" t="s">
        <v>288</v>
      </c>
      <c r="G20" s="178" t="e">
        <f>E20</f>
        <v>#REF!</v>
      </c>
      <c r="H20" s="179"/>
      <c r="I20" s="180">
        <v>0</v>
      </c>
      <c r="J20" s="471"/>
      <c r="K20" s="153"/>
      <c r="L20" s="147"/>
      <c r="M20" s="177" t="s">
        <v>176</v>
      </c>
      <c r="N20" s="149">
        <f>L20</f>
        <v>0</v>
      </c>
      <c r="O20" s="178"/>
    </row>
    <row r="21" spans="1:15" ht="15" customHeight="1" x14ac:dyDescent="0.15">
      <c r="A21" s="905"/>
      <c r="B21" s="146" t="s">
        <v>18</v>
      </c>
      <c r="C21" s="147" t="e">
        <f>E20</f>
        <v>#REF!</v>
      </c>
      <c r="D21" s="476" t="s">
        <v>114</v>
      </c>
      <c r="E21" s="147" t="e">
        <f>C21*6/12*0.06</f>
        <v>#REF!</v>
      </c>
      <c r="F21" s="137" t="s">
        <v>167</v>
      </c>
      <c r="G21" s="149" t="e">
        <f>E21</f>
        <v>#REF!</v>
      </c>
      <c r="H21" s="150"/>
      <c r="I21" s="151">
        <v>0</v>
      </c>
      <c r="J21" s="471"/>
      <c r="K21" s="153"/>
      <c r="L21" s="147"/>
      <c r="M21" s="148" t="s">
        <v>176</v>
      </c>
      <c r="N21" s="149">
        <f>L21</f>
        <v>0</v>
      </c>
      <c r="O21" s="149"/>
    </row>
    <row r="22" spans="1:15" ht="15" customHeight="1" x14ac:dyDescent="0.15">
      <c r="A22" s="905"/>
      <c r="B22" s="137" t="s">
        <v>175</v>
      </c>
      <c r="C22" s="147" t="e">
        <f>#REF!</f>
        <v>#REF!</v>
      </c>
      <c r="D22" s="247" t="s">
        <v>140</v>
      </c>
      <c r="E22" s="147">
        <v>0</v>
      </c>
      <c r="F22" s="477" t="s">
        <v>351</v>
      </c>
      <c r="G22" s="149">
        <f>E22</f>
        <v>0</v>
      </c>
      <c r="H22" s="150"/>
      <c r="I22" s="151" t="e">
        <f>C22</f>
        <v>#REF!</v>
      </c>
      <c r="J22" s="471" t="e">
        <f>#REF!</f>
        <v>#REF!</v>
      </c>
      <c r="K22" s="745">
        <f t="shared" ref="K22:K28" si="2">$K$5</f>
        <v>1</v>
      </c>
      <c r="L22" s="147" t="e">
        <f>I22*J22*K22</f>
        <v>#REF!</v>
      </c>
      <c r="M22" s="148"/>
      <c r="N22" s="725" t="e">
        <f>L22-O22</f>
        <v>#REF!</v>
      </c>
      <c r="O22" s="725">
        <v>540</v>
      </c>
    </row>
    <row r="23" spans="1:15" ht="15" customHeight="1" x14ac:dyDescent="0.15">
      <c r="A23" s="905"/>
      <c r="B23" s="137" t="s">
        <v>174</v>
      </c>
      <c r="C23" s="248" t="e">
        <f>#REF!</f>
        <v>#REF!</v>
      </c>
      <c r="D23" s="245" t="s">
        <v>140</v>
      </c>
      <c r="E23" s="147" t="e">
        <f>#REF!</f>
        <v>#REF!</v>
      </c>
      <c r="F23" s="137" t="s">
        <v>432</v>
      </c>
      <c r="G23" s="149" t="e">
        <f t="shared" ref="G23:G28" si="3">E23</f>
        <v>#REF!</v>
      </c>
      <c r="H23" s="150"/>
      <c r="I23" s="151" t="e">
        <f t="shared" ref="I23:I28" si="4">E23</f>
        <v>#REF!</v>
      </c>
      <c r="J23" s="471" t="e">
        <f>#REF!</f>
        <v>#REF!</v>
      </c>
      <c r="K23" s="745">
        <f t="shared" si="2"/>
        <v>1</v>
      </c>
      <c r="L23" s="147" t="e">
        <f t="shared" ref="L23:L28" si="5">I23*J23*K23</f>
        <v>#REF!</v>
      </c>
      <c r="M23" s="148"/>
      <c r="N23" s="149" t="e">
        <f t="shared" ref="N23:N28" si="6">L23</f>
        <v>#REF!</v>
      </c>
      <c r="O23" s="149"/>
    </row>
    <row r="24" spans="1:15" ht="15" customHeight="1" x14ac:dyDescent="0.15">
      <c r="A24" s="905"/>
      <c r="B24" s="137" t="s">
        <v>36</v>
      </c>
      <c r="C24" s="156" t="e">
        <f>#REF!</f>
        <v>#REF!</v>
      </c>
      <c r="D24" s="7">
        <v>30</v>
      </c>
      <c r="E24" s="147" t="e">
        <f>C24*D24/1000</f>
        <v>#REF!</v>
      </c>
      <c r="F24" s="5" t="s">
        <v>15</v>
      </c>
      <c r="G24" s="149" t="e">
        <f t="shared" si="3"/>
        <v>#REF!</v>
      </c>
      <c r="H24" s="150"/>
      <c r="I24" s="151" t="e">
        <f t="shared" si="4"/>
        <v>#REF!</v>
      </c>
      <c r="J24" s="471" t="e">
        <f>#REF!</f>
        <v>#REF!</v>
      </c>
      <c r="K24" s="745">
        <f t="shared" si="2"/>
        <v>1</v>
      </c>
      <c r="L24" s="147" t="e">
        <f t="shared" si="5"/>
        <v>#REF!</v>
      </c>
      <c r="M24" s="148"/>
      <c r="N24" s="149" t="e">
        <f t="shared" si="6"/>
        <v>#REF!</v>
      </c>
      <c r="O24" s="149"/>
    </row>
    <row r="25" spans="1:15" ht="15" customHeight="1" x14ac:dyDescent="0.15">
      <c r="A25" s="905"/>
      <c r="B25" s="137" t="s">
        <v>33</v>
      </c>
      <c r="C25" s="156" t="e">
        <f>#REF!*(1-転出率)</f>
        <v>#REF!</v>
      </c>
      <c r="D25" s="222">
        <v>10</v>
      </c>
      <c r="E25" s="147" t="e">
        <f>C25*D25/1000</f>
        <v>#REF!</v>
      </c>
      <c r="F25" s="146" t="s">
        <v>170</v>
      </c>
      <c r="G25" s="149" t="e">
        <f t="shared" si="3"/>
        <v>#REF!</v>
      </c>
      <c r="H25" s="150"/>
      <c r="I25" s="151" t="e">
        <f t="shared" si="4"/>
        <v>#REF!</v>
      </c>
      <c r="J25" s="471" t="e">
        <f>#REF!</f>
        <v>#REF!</v>
      </c>
      <c r="K25" s="745">
        <f t="shared" si="2"/>
        <v>1</v>
      </c>
      <c r="L25" s="147" t="e">
        <f t="shared" si="5"/>
        <v>#REF!</v>
      </c>
      <c r="M25" s="148"/>
      <c r="N25" s="149" t="e">
        <f t="shared" si="6"/>
        <v>#REF!</v>
      </c>
      <c r="O25" s="149"/>
    </row>
    <row r="26" spans="1:15" ht="15" customHeight="1" x14ac:dyDescent="0.15">
      <c r="A26" s="905"/>
      <c r="B26" s="5" t="s">
        <v>35</v>
      </c>
      <c r="C26" s="156" t="e">
        <f>C24-C25</f>
        <v>#REF!</v>
      </c>
      <c r="D26" s="222">
        <v>5</v>
      </c>
      <c r="E26" s="147" t="e">
        <f>C26*D26/1000</f>
        <v>#REF!</v>
      </c>
      <c r="F26" s="146" t="s">
        <v>171</v>
      </c>
      <c r="G26" s="149" t="e">
        <f t="shared" si="3"/>
        <v>#REF!</v>
      </c>
      <c r="H26" s="150"/>
      <c r="I26" s="151" t="e">
        <f t="shared" si="4"/>
        <v>#REF!</v>
      </c>
      <c r="J26" s="471" t="e">
        <f>#REF!</f>
        <v>#REF!</v>
      </c>
      <c r="K26" s="745">
        <f t="shared" si="2"/>
        <v>1</v>
      </c>
      <c r="L26" s="147" t="e">
        <f t="shared" si="5"/>
        <v>#REF!</v>
      </c>
      <c r="M26" s="148"/>
      <c r="N26" s="149" t="e">
        <f t="shared" si="6"/>
        <v>#REF!</v>
      </c>
      <c r="O26" s="149"/>
    </row>
    <row r="27" spans="1:15" ht="15" customHeight="1" x14ac:dyDescent="0.15">
      <c r="A27" s="905"/>
      <c r="B27" s="146" t="s">
        <v>34</v>
      </c>
      <c r="C27" s="156" t="e">
        <f>#REF!</f>
        <v>#REF!</v>
      </c>
      <c r="D27" s="246">
        <v>2</v>
      </c>
      <c r="E27" s="6" t="e">
        <f>C27*D27*30/1000</f>
        <v>#REF!</v>
      </c>
      <c r="F27" s="15" t="s">
        <v>394</v>
      </c>
      <c r="G27" s="149" t="e">
        <f t="shared" si="3"/>
        <v>#REF!</v>
      </c>
      <c r="H27" s="150"/>
      <c r="I27" s="151" t="e">
        <f t="shared" si="4"/>
        <v>#REF!</v>
      </c>
      <c r="J27" s="471" t="e">
        <f>#REF!</f>
        <v>#REF!</v>
      </c>
      <c r="K27" s="745">
        <f t="shared" si="2"/>
        <v>1</v>
      </c>
      <c r="L27" s="147" t="e">
        <f t="shared" si="5"/>
        <v>#REF!</v>
      </c>
      <c r="M27" s="148"/>
      <c r="N27" s="149" t="e">
        <f t="shared" si="6"/>
        <v>#REF!</v>
      </c>
      <c r="O27" s="149"/>
    </row>
    <row r="28" spans="1:15" ht="15" customHeight="1" x14ac:dyDescent="0.15">
      <c r="A28" s="905"/>
      <c r="B28" s="137" t="s">
        <v>289</v>
      </c>
      <c r="C28" s="762" t="e">
        <f>#REF!</f>
        <v>#REF!</v>
      </c>
      <c r="D28" s="475">
        <v>2</v>
      </c>
      <c r="E28" s="147" t="e">
        <f>C28*D28*30/1000</f>
        <v>#REF!</v>
      </c>
      <c r="F28" s="223" t="s">
        <v>395</v>
      </c>
      <c r="G28" s="149" t="e">
        <f t="shared" si="3"/>
        <v>#REF!</v>
      </c>
      <c r="H28" s="150"/>
      <c r="I28" s="151" t="e">
        <f t="shared" si="4"/>
        <v>#REF!</v>
      </c>
      <c r="J28" s="471" t="e">
        <f>#REF!</f>
        <v>#REF!</v>
      </c>
      <c r="K28" s="745">
        <f t="shared" si="2"/>
        <v>1</v>
      </c>
      <c r="L28" s="147" t="e">
        <f t="shared" si="5"/>
        <v>#REF!</v>
      </c>
      <c r="M28" s="148"/>
      <c r="N28" s="149" t="e">
        <f t="shared" si="6"/>
        <v>#REF!</v>
      </c>
      <c r="O28" s="149"/>
    </row>
    <row r="29" spans="1:15" ht="15" customHeight="1" x14ac:dyDescent="0.15">
      <c r="A29" s="905"/>
      <c r="B29" s="158" t="s">
        <v>118</v>
      </c>
      <c r="C29" s="159" t="e">
        <f>SUM(E20:E28)</f>
        <v>#REF!</v>
      </c>
      <c r="D29" s="723">
        <v>0</v>
      </c>
      <c r="E29" s="159" t="e">
        <f>C29*D29</f>
        <v>#REF!</v>
      </c>
      <c r="F29" s="161"/>
      <c r="G29" s="162" t="e">
        <f>E29</f>
        <v>#REF!</v>
      </c>
      <c r="H29" s="163"/>
      <c r="I29" s="151">
        <v>0</v>
      </c>
      <c r="J29" s="472"/>
      <c r="K29" s="166"/>
      <c r="L29" s="159"/>
      <c r="M29" s="161"/>
      <c r="N29" s="162"/>
      <c r="O29" s="162"/>
    </row>
    <row r="30" spans="1:15" ht="15" customHeight="1" x14ac:dyDescent="0.15">
      <c r="A30" s="906"/>
      <c r="B30" s="9" t="s">
        <v>335</v>
      </c>
      <c r="C30" s="10"/>
      <c r="D30" s="9"/>
      <c r="E30" s="11" t="e">
        <f>SUM(E20:E29)</f>
        <v>#REF!</v>
      </c>
      <c r="F30" s="167"/>
      <c r="G30" s="168" t="e">
        <f>SUM(G20:G29)</f>
        <v>#REF!</v>
      </c>
      <c r="H30" s="169">
        <f>SUM(H20:H29)</f>
        <v>0</v>
      </c>
      <c r="I30" s="170" t="e">
        <f>SUM(I20:I29)</f>
        <v>#REF!</v>
      </c>
      <c r="J30" s="473"/>
      <c r="K30" s="172"/>
      <c r="L30" s="11" t="e">
        <f>SUM(L20:L29)</f>
        <v>#REF!</v>
      </c>
      <c r="M30" s="167"/>
      <c r="N30" s="168" t="e">
        <f>SUM(N20:N29)</f>
        <v>#REF!</v>
      </c>
      <c r="O30" s="168">
        <f>SUM(O20:O29)</f>
        <v>540</v>
      </c>
    </row>
    <row r="31" spans="1:15" ht="15" customHeight="1" x14ac:dyDescent="0.15">
      <c r="A31" s="904" t="s">
        <v>19</v>
      </c>
      <c r="B31" s="173" t="e">
        <f>#REF!</f>
        <v>#REF!</v>
      </c>
      <c r="C31" s="184" t="e">
        <f>#REF!</f>
        <v>#REF!</v>
      </c>
      <c r="D31" s="185" t="e">
        <f>#REF!</f>
        <v>#REF!</v>
      </c>
      <c r="E31" s="176" t="e">
        <f t="shared" ref="E31:E41" si="7">C31*D31/1000</f>
        <v>#REF!</v>
      </c>
      <c r="F31" s="177" t="s">
        <v>20</v>
      </c>
      <c r="G31" s="178"/>
      <c r="H31" s="179" t="e">
        <f t="shared" ref="H31:H42" si="8">E31</f>
        <v>#REF!</v>
      </c>
      <c r="I31" s="869" t="e">
        <f>SUM(H31:H33)*0.26</f>
        <v>#REF!</v>
      </c>
      <c r="J31" s="1150" t="e">
        <f>#REF!</f>
        <v>#REF!</v>
      </c>
      <c r="K31" s="1207">
        <f t="shared" ref="K31:K40" si="9">$K$5</f>
        <v>1</v>
      </c>
      <c r="L31" s="907" t="e">
        <f>I31*J31*K31</f>
        <v>#REF!</v>
      </c>
      <c r="M31" s="863" t="s">
        <v>374</v>
      </c>
      <c r="N31" s="861"/>
      <c r="O31" s="857" t="e">
        <f>L31</f>
        <v>#REF!</v>
      </c>
    </row>
    <row r="32" spans="1:15" ht="15" customHeight="1" x14ac:dyDescent="0.15">
      <c r="A32" s="905"/>
      <c r="B32" s="146" t="e">
        <f>#REF!</f>
        <v>#REF!</v>
      </c>
      <c r="C32" s="186" t="e">
        <f>#REF!</f>
        <v>#REF!</v>
      </c>
      <c r="D32" s="187" t="e">
        <f>#REF!</f>
        <v>#REF!</v>
      </c>
      <c r="E32" s="147" t="e">
        <f t="shared" si="7"/>
        <v>#REF!</v>
      </c>
      <c r="F32" s="148" t="s">
        <v>20</v>
      </c>
      <c r="G32" s="149"/>
      <c r="H32" s="150" t="e">
        <f t="shared" si="8"/>
        <v>#REF!</v>
      </c>
      <c r="I32" s="1161"/>
      <c r="J32" s="1151"/>
      <c r="K32" s="1208">
        <f t="shared" si="9"/>
        <v>1</v>
      </c>
      <c r="L32" s="1156"/>
      <c r="M32" s="864"/>
      <c r="N32" s="1159"/>
      <c r="O32" s="858"/>
    </row>
    <row r="33" spans="1:16" ht="15" customHeight="1" x14ac:dyDescent="0.15">
      <c r="A33" s="905"/>
      <c r="B33" s="158" t="e">
        <f>#REF!</f>
        <v>#REF!</v>
      </c>
      <c r="C33" s="687" t="e">
        <f>#REF!</f>
        <v>#REF!</v>
      </c>
      <c r="D33" s="688" t="e">
        <f>#REF!</f>
        <v>#REF!</v>
      </c>
      <c r="E33" s="159" t="e">
        <f t="shared" si="7"/>
        <v>#REF!</v>
      </c>
      <c r="F33" s="161" t="s">
        <v>20</v>
      </c>
      <c r="G33" s="162"/>
      <c r="H33" s="163" t="e">
        <f t="shared" si="8"/>
        <v>#REF!</v>
      </c>
      <c r="I33" s="870"/>
      <c r="J33" s="1152"/>
      <c r="K33" s="1209">
        <f t="shared" si="9"/>
        <v>1</v>
      </c>
      <c r="L33" s="908"/>
      <c r="M33" s="1158"/>
      <c r="N33" s="1160"/>
      <c r="O33" s="873"/>
      <c r="P33" s="244"/>
    </row>
    <row r="34" spans="1:16" ht="15" customHeight="1" x14ac:dyDescent="0.15">
      <c r="A34" s="905"/>
      <c r="B34" s="173" t="e">
        <f>#REF!</f>
        <v>#REF!</v>
      </c>
      <c r="C34" s="184" t="e">
        <f>#REF!</f>
        <v>#REF!</v>
      </c>
      <c r="D34" s="185" t="e">
        <f>#REF!</f>
        <v>#REF!</v>
      </c>
      <c r="E34" s="176" t="e">
        <f>C34*D34/1000</f>
        <v>#REF!</v>
      </c>
      <c r="F34" s="177" t="s">
        <v>371</v>
      </c>
      <c r="G34" s="178"/>
      <c r="H34" s="179" t="e">
        <f t="shared" si="8"/>
        <v>#REF!</v>
      </c>
      <c r="I34" s="1210" t="e">
        <f>SUM(H34:H36)*0.26</f>
        <v>#REF!</v>
      </c>
      <c r="J34" s="1150" t="e">
        <f>#REF!</f>
        <v>#REF!</v>
      </c>
      <c r="K34" s="1207">
        <f t="shared" si="9"/>
        <v>1</v>
      </c>
      <c r="L34" s="907" t="e">
        <f>I34*J34*K34</f>
        <v>#REF!</v>
      </c>
      <c r="M34" s="1213" t="s">
        <v>383</v>
      </c>
      <c r="N34" s="857"/>
      <c r="O34" s="857" t="e">
        <f>L34</f>
        <v>#REF!</v>
      </c>
    </row>
    <row r="35" spans="1:16" ht="15" customHeight="1" x14ac:dyDescent="0.15">
      <c r="A35" s="905"/>
      <c r="B35" s="146" t="e">
        <f>#REF!</f>
        <v>#REF!</v>
      </c>
      <c r="C35" s="186" t="e">
        <f>#REF!</f>
        <v>#REF!</v>
      </c>
      <c r="D35" s="187" t="e">
        <f>#REF!</f>
        <v>#REF!</v>
      </c>
      <c r="E35" s="147" t="e">
        <f>C35*D35/1000</f>
        <v>#REF!</v>
      </c>
      <c r="F35" s="148" t="s">
        <v>371</v>
      </c>
      <c r="G35" s="149"/>
      <c r="H35" s="150" t="e">
        <f t="shared" si="8"/>
        <v>#REF!</v>
      </c>
      <c r="I35" s="1211"/>
      <c r="J35" s="1151"/>
      <c r="K35" s="1208">
        <f t="shared" si="9"/>
        <v>1</v>
      </c>
      <c r="L35" s="1156"/>
      <c r="M35" s="1214"/>
      <c r="N35" s="858"/>
      <c r="O35" s="858"/>
    </row>
    <row r="36" spans="1:16" ht="15" customHeight="1" x14ac:dyDescent="0.15">
      <c r="A36" s="905"/>
      <c r="B36" s="158" t="e">
        <f>#REF!</f>
        <v>#REF!</v>
      </c>
      <c r="C36" s="687" t="e">
        <f>#REF!</f>
        <v>#REF!</v>
      </c>
      <c r="D36" s="688" t="e">
        <f>#REF!</f>
        <v>#REF!</v>
      </c>
      <c r="E36" s="159" t="e">
        <f>C36*D36/1000</f>
        <v>#REF!</v>
      </c>
      <c r="F36" s="161" t="s">
        <v>371</v>
      </c>
      <c r="G36" s="162"/>
      <c r="H36" s="163" t="e">
        <f t="shared" si="8"/>
        <v>#REF!</v>
      </c>
      <c r="I36" s="1212"/>
      <c r="J36" s="1152"/>
      <c r="K36" s="1209">
        <f t="shared" si="9"/>
        <v>1</v>
      </c>
      <c r="L36" s="908"/>
      <c r="M36" s="1215"/>
      <c r="N36" s="873"/>
      <c r="O36" s="873"/>
    </row>
    <row r="37" spans="1:16" ht="15" customHeight="1" x14ac:dyDescent="0.15">
      <c r="A37" s="905"/>
      <c r="B37" s="173" t="e">
        <f>#REF!</f>
        <v>#REF!</v>
      </c>
      <c r="C37" s="691" t="e">
        <f>#REF!</f>
        <v>#REF!</v>
      </c>
      <c r="D37" s="692" t="e">
        <f>#REF!</f>
        <v>#REF!</v>
      </c>
      <c r="E37" s="176" t="e">
        <f t="shared" si="7"/>
        <v>#REF!</v>
      </c>
      <c r="F37" s="177" t="s">
        <v>332</v>
      </c>
      <c r="G37" s="178"/>
      <c r="H37" s="179" t="e">
        <f>E37</f>
        <v>#REF!</v>
      </c>
      <c r="I37" s="869" t="e">
        <f>H37+H38+H39</f>
        <v>#REF!</v>
      </c>
      <c r="J37" s="1150" t="e">
        <f>#REF!</f>
        <v>#REF!</v>
      </c>
      <c r="K37" s="1207">
        <f t="shared" si="9"/>
        <v>1</v>
      </c>
      <c r="L37" s="907" t="e">
        <f>I37*J37*K37</f>
        <v>#REF!</v>
      </c>
      <c r="M37" s="1157" t="s">
        <v>373</v>
      </c>
      <c r="N37" s="861"/>
      <c r="O37" s="857" t="e">
        <f>L37</f>
        <v>#REF!</v>
      </c>
    </row>
    <row r="38" spans="1:16" ht="15" customHeight="1" x14ac:dyDescent="0.15">
      <c r="A38" s="905"/>
      <c r="B38" s="215" t="e">
        <f>#REF!</f>
        <v>#REF!</v>
      </c>
      <c r="C38" s="216" t="e">
        <f>#REF!</f>
        <v>#REF!</v>
      </c>
      <c r="D38" s="187" t="e">
        <f>#REF!</f>
        <v>#REF!</v>
      </c>
      <c r="E38" s="147" t="e">
        <f t="shared" si="7"/>
        <v>#REF!</v>
      </c>
      <c r="F38" s="148" t="s">
        <v>371</v>
      </c>
      <c r="G38" s="219"/>
      <c r="H38" s="150" t="e">
        <f>E38</f>
        <v>#REF!</v>
      </c>
      <c r="I38" s="1161"/>
      <c r="J38" s="1151"/>
      <c r="K38" s="1208">
        <f t="shared" si="9"/>
        <v>1</v>
      </c>
      <c r="L38" s="1156"/>
      <c r="M38" s="864"/>
      <c r="N38" s="1159"/>
      <c r="O38" s="858"/>
    </row>
    <row r="39" spans="1:16" ht="15" customHeight="1" x14ac:dyDescent="0.15">
      <c r="A39" s="905"/>
      <c r="B39" s="158" t="e">
        <f>#REF!</f>
        <v>#REF!</v>
      </c>
      <c r="C39" s="687" t="e">
        <f>#REF!</f>
        <v>#REF!</v>
      </c>
      <c r="D39" s="688" t="e">
        <f>#REF!</f>
        <v>#REF!</v>
      </c>
      <c r="E39" s="159" t="e">
        <f t="shared" si="7"/>
        <v>#REF!</v>
      </c>
      <c r="F39" s="161" t="s">
        <v>371</v>
      </c>
      <c r="G39" s="162"/>
      <c r="H39" s="163" t="e">
        <f>E39</f>
        <v>#REF!</v>
      </c>
      <c r="I39" s="870"/>
      <c r="J39" s="1152"/>
      <c r="K39" s="1209">
        <f t="shared" si="9"/>
        <v>1</v>
      </c>
      <c r="L39" s="908"/>
      <c r="M39" s="1158"/>
      <c r="N39" s="1160"/>
      <c r="O39" s="873"/>
    </row>
    <row r="40" spans="1:16" ht="15" customHeight="1" x14ac:dyDescent="0.15">
      <c r="A40" s="905"/>
      <c r="B40" s="5" t="s">
        <v>164</v>
      </c>
      <c r="C40" s="689" t="e">
        <f>(#REF!-#REF!)*0.3025</f>
        <v>#REF!</v>
      </c>
      <c r="D40" s="686">
        <v>200</v>
      </c>
      <c r="E40" s="139" t="e">
        <f t="shared" si="7"/>
        <v>#REF!</v>
      </c>
      <c r="F40" s="140" t="s">
        <v>20</v>
      </c>
      <c r="G40" s="658"/>
      <c r="H40" s="142" t="e">
        <f t="shared" si="8"/>
        <v>#REF!</v>
      </c>
      <c r="I40" s="143" t="e">
        <f>E40</f>
        <v>#REF!</v>
      </c>
      <c r="J40" s="690" t="e">
        <f>#REF!</f>
        <v>#REF!</v>
      </c>
      <c r="K40" s="744">
        <f t="shared" si="9"/>
        <v>1</v>
      </c>
      <c r="L40" s="139" t="e">
        <f>I40*J40*K40</f>
        <v>#REF!</v>
      </c>
      <c r="M40" s="140"/>
      <c r="N40" s="141"/>
      <c r="O40" s="141" t="e">
        <f>L40</f>
        <v>#REF!</v>
      </c>
    </row>
    <row r="41" spans="1:16" ht="15" customHeight="1" x14ac:dyDescent="0.15">
      <c r="A41" s="905"/>
      <c r="B41" s="215" t="s">
        <v>123</v>
      </c>
      <c r="C41" s="216" t="e">
        <f>#REF!*0.3025</f>
        <v>#REF!</v>
      </c>
      <c r="D41" s="187">
        <v>100</v>
      </c>
      <c r="E41" s="147" t="e">
        <f t="shared" si="7"/>
        <v>#REF!</v>
      </c>
      <c r="F41" s="148" t="s">
        <v>20</v>
      </c>
      <c r="G41" s="219"/>
      <c r="H41" s="150" t="e">
        <f t="shared" si="8"/>
        <v>#REF!</v>
      </c>
      <c r="I41" s="220"/>
      <c r="J41" s="474"/>
      <c r="K41" s="221"/>
      <c r="L41" s="217"/>
      <c r="M41" s="218"/>
      <c r="N41" s="219"/>
      <c r="O41" s="219"/>
    </row>
    <row r="42" spans="1:16" ht="15" customHeight="1" x14ac:dyDescent="0.15">
      <c r="A42" s="905"/>
      <c r="B42" s="158" t="s">
        <v>127</v>
      </c>
      <c r="C42" s="159" t="e">
        <f>SUM(E31:E41)</f>
        <v>#REF!</v>
      </c>
      <c r="D42" s="160">
        <v>0.1</v>
      </c>
      <c r="E42" s="159" t="e">
        <f>C42*D42</f>
        <v>#REF!</v>
      </c>
      <c r="F42" s="188"/>
      <c r="G42" s="162"/>
      <c r="H42" s="163" t="e">
        <f t="shared" si="8"/>
        <v>#REF!</v>
      </c>
      <c r="I42" s="164"/>
      <c r="J42" s="165"/>
      <c r="K42" s="166"/>
      <c r="L42" s="159"/>
      <c r="M42" s="188"/>
      <c r="N42" s="162"/>
      <c r="O42" s="162"/>
    </row>
    <row r="43" spans="1:16" ht="15" customHeight="1" x14ac:dyDescent="0.15">
      <c r="A43" s="8"/>
      <c r="B43" s="9" t="s">
        <v>21</v>
      </c>
      <c r="C43" s="10"/>
      <c r="D43" s="9"/>
      <c r="E43" s="11" t="e">
        <f>SUM(E31:E42)</f>
        <v>#REF!</v>
      </c>
      <c r="F43" s="167"/>
      <c r="G43" s="168">
        <f>SUM(G31:G42)</f>
        <v>0</v>
      </c>
      <c r="H43" s="169" t="e">
        <f>SUM(H31:H42)</f>
        <v>#REF!</v>
      </c>
      <c r="I43" s="170" t="e">
        <f>SUM(I31:I42)</f>
        <v>#REF!</v>
      </c>
      <c r="J43" s="11"/>
      <c r="K43" s="172"/>
      <c r="L43" s="11" t="e">
        <f>SUM(L31:L42)</f>
        <v>#REF!</v>
      </c>
      <c r="M43" s="167"/>
      <c r="N43" s="168">
        <f>SUM(N31:N42)</f>
        <v>0</v>
      </c>
      <c r="O43" s="168" t="e">
        <f>SUM(O31:O42)</f>
        <v>#REF!</v>
      </c>
    </row>
    <row r="44" spans="1:16" ht="15" hidden="1" customHeight="1" x14ac:dyDescent="0.15">
      <c r="A44" s="888" t="s">
        <v>169</v>
      </c>
      <c r="B44" s="173" t="s">
        <v>123</v>
      </c>
      <c r="C44" s="240"/>
      <c r="D44" s="173"/>
      <c r="E44" s="176"/>
      <c r="F44" s="177"/>
      <c r="G44" s="178"/>
      <c r="H44" s="179"/>
      <c r="I44" s="241">
        <v>0</v>
      </c>
      <c r="J44" s="242">
        <v>30</v>
      </c>
      <c r="K44" s="243"/>
      <c r="L44" s="176">
        <f>I44*J44*K44/1000</f>
        <v>0</v>
      </c>
      <c r="M44" s="177" t="s">
        <v>172</v>
      </c>
      <c r="N44" s="193">
        <f>L44</f>
        <v>0</v>
      </c>
      <c r="O44" s="178"/>
    </row>
    <row r="45" spans="1:16" ht="15" hidden="1" customHeight="1" x14ac:dyDescent="0.15">
      <c r="A45" s="889"/>
      <c r="B45" s="232" t="s">
        <v>126</v>
      </c>
      <c r="C45" s="233"/>
      <c r="D45" s="8"/>
      <c r="E45" s="19"/>
      <c r="F45" s="234"/>
      <c r="G45" s="235"/>
      <c r="H45" s="236"/>
      <c r="I45" s="237" t="e">
        <f>#REF!</f>
        <v>#REF!</v>
      </c>
      <c r="J45" s="238">
        <v>53</v>
      </c>
      <c r="K45" s="239"/>
      <c r="L45" s="19" t="e">
        <f>I45*J45*K45/1000</f>
        <v>#REF!</v>
      </c>
      <c r="M45" s="234" t="e">
        <f>"単価：路線価"&amp;#REF!&amp;"千円/㎡×1.2"</f>
        <v>#REF!</v>
      </c>
      <c r="N45" s="162" t="e">
        <f>L45</f>
        <v>#REF!</v>
      </c>
      <c r="O45" s="235"/>
    </row>
    <row r="46" spans="1:16" ht="15" hidden="1" customHeight="1" x14ac:dyDescent="0.15">
      <c r="A46" s="890"/>
      <c r="B46" s="224" t="s">
        <v>397</v>
      </c>
      <c r="C46" s="225"/>
      <c r="D46" s="226"/>
      <c r="E46" s="227"/>
      <c r="F46" s="228"/>
      <c r="G46" s="168"/>
      <c r="H46" s="169"/>
      <c r="I46" s="229"/>
      <c r="J46" s="230"/>
      <c r="K46" s="231"/>
      <c r="L46" s="227" t="e">
        <f>SUM(L44:L45)</f>
        <v>#REF!</v>
      </c>
      <c r="M46" s="228"/>
      <c r="N46" s="168" t="e">
        <f>SUM(N44:N45)</f>
        <v>#REF!</v>
      </c>
      <c r="O46" s="168">
        <f>SUM(O44:O45)</f>
        <v>0</v>
      </c>
    </row>
    <row r="47" spans="1:16" ht="15" customHeight="1" x14ac:dyDescent="0.15">
      <c r="A47" s="1205" t="s">
        <v>433</v>
      </c>
      <c r="B47" s="1206"/>
      <c r="C47" s="751"/>
      <c r="D47" s="752"/>
      <c r="E47" s="753"/>
      <c r="F47" s="195"/>
      <c r="G47" s="193"/>
      <c r="H47" s="194"/>
      <c r="I47" s="754"/>
      <c r="J47" s="731"/>
      <c r="K47" s="755"/>
      <c r="L47" s="763">
        <f>消費税還付の計算!C68</f>
        <v>-357.35294117647061</v>
      </c>
      <c r="M47" s="195"/>
      <c r="N47" s="193"/>
      <c r="O47" s="193"/>
    </row>
    <row r="48" spans="1:16" ht="15" customHeight="1" thickBot="1" x14ac:dyDescent="0.2">
      <c r="A48" s="1145" t="s">
        <v>435</v>
      </c>
      <c r="B48" s="1146"/>
      <c r="C48" s="733"/>
      <c r="D48" s="734"/>
      <c r="E48" s="735"/>
      <c r="F48" s="736"/>
      <c r="G48" s="737"/>
      <c r="H48" s="738"/>
      <c r="I48" s="743" t="e">
        <f>C42-I22-SUM(I31:I40)</f>
        <v>#REF!</v>
      </c>
      <c r="J48" s="742">
        <v>0.05</v>
      </c>
      <c r="K48" s="741"/>
      <c r="L48" s="764" t="e">
        <f>I48*J48</f>
        <v>#REF!</v>
      </c>
      <c r="M48" s="736"/>
      <c r="N48" s="737"/>
      <c r="O48" s="737"/>
    </row>
    <row r="49" spans="1:18" ht="15" customHeight="1" thickTop="1" x14ac:dyDescent="0.15">
      <c r="A49" s="1147" t="s">
        <v>161</v>
      </c>
      <c r="B49" s="1148"/>
      <c r="C49" s="8"/>
      <c r="D49" s="8"/>
      <c r="E49" s="732" t="e">
        <f>SUM(E43,E30,E19,E13)</f>
        <v>#REF!</v>
      </c>
      <c r="F49" s="234"/>
      <c r="G49" s="235" t="e">
        <f>SUM(G13,G19,G30,G43)</f>
        <v>#REF!</v>
      </c>
      <c r="H49" s="236" t="e">
        <f>SUM(H13,H19,H30,H43)</f>
        <v>#REF!</v>
      </c>
      <c r="I49" s="859" t="s">
        <v>436</v>
      </c>
      <c r="J49" s="860"/>
      <c r="K49" s="1149"/>
      <c r="L49" s="732" t="e">
        <f>SUM(L13,L19,L30,L43,L46,L47,L48)</f>
        <v>#REF!</v>
      </c>
      <c r="M49" s="234"/>
      <c r="N49" s="235"/>
      <c r="O49" s="235"/>
    </row>
    <row r="50" spans="1:18" ht="15" customHeight="1" x14ac:dyDescent="0.15">
      <c r="A50" s="1131" t="s">
        <v>290</v>
      </c>
      <c r="B50" s="1132"/>
      <c r="C50" s="12" t="e">
        <f>E49</f>
        <v>#REF!</v>
      </c>
      <c r="D50" s="3">
        <v>0.03</v>
      </c>
      <c r="E50" s="12" t="e">
        <f>C50*D50</f>
        <v>#REF!</v>
      </c>
      <c r="F50" s="18" t="s">
        <v>292</v>
      </c>
      <c r="G50" s="189" t="e">
        <f>E50*$P$6</f>
        <v>#REF!</v>
      </c>
      <c r="H50" s="190" t="e">
        <f>E50*$Q$6</f>
        <v>#REF!</v>
      </c>
      <c r="I50" s="1133"/>
      <c r="J50" s="1134"/>
      <c r="K50" s="1135"/>
      <c r="L50" s="12"/>
      <c r="M50" s="18"/>
      <c r="N50" s="189"/>
      <c r="O50" s="189"/>
    </row>
    <row r="51" spans="1:18" ht="15" customHeight="1" x14ac:dyDescent="0.15">
      <c r="A51" s="1131" t="s">
        <v>291</v>
      </c>
      <c r="B51" s="1132"/>
      <c r="C51" s="12"/>
      <c r="D51" s="478">
        <v>5</v>
      </c>
      <c r="E51" s="12" t="e">
        <f>(E49+E50)*0.4*0.015*D51</f>
        <v>#REF!</v>
      </c>
      <c r="F51" s="479" t="s">
        <v>396</v>
      </c>
      <c r="G51" s="189" t="e">
        <f>E51*$P$6</f>
        <v>#REF!</v>
      </c>
      <c r="H51" s="190" t="e">
        <f>E51*$Q$6</f>
        <v>#REF!</v>
      </c>
      <c r="I51" s="1133"/>
      <c r="J51" s="1134"/>
      <c r="K51" s="1135"/>
      <c r="L51" s="12"/>
      <c r="M51" s="18"/>
      <c r="N51" s="189"/>
      <c r="O51" s="189"/>
    </row>
    <row r="52" spans="1:18" ht="15" customHeight="1" thickBot="1" x14ac:dyDescent="0.2">
      <c r="A52" s="1140" t="s">
        <v>118</v>
      </c>
      <c r="B52" s="1141"/>
      <c r="C52" s="191" t="e">
        <f>E49+E50+E51</f>
        <v>#REF!</v>
      </c>
      <c r="D52" s="94">
        <v>0.03</v>
      </c>
      <c r="E52" s="191" t="e">
        <f>C52*D52</f>
        <v>#REF!</v>
      </c>
      <c r="F52" s="192" t="s">
        <v>293</v>
      </c>
      <c r="G52" s="193" t="e">
        <f>E52*$P$6</f>
        <v>#REF!</v>
      </c>
      <c r="H52" s="194" t="e">
        <f>E52*$Q$6</f>
        <v>#REF!</v>
      </c>
      <c r="I52" s="1142"/>
      <c r="J52" s="1143"/>
      <c r="K52" s="1144"/>
      <c r="L52" s="191"/>
      <c r="M52" s="195"/>
      <c r="N52" s="193"/>
      <c r="O52" s="193"/>
    </row>
    <row r="53" spans="1:18" ht="15" customHeight="1" thickTop="1" x14ac:dyDescent="0.15">
      <c r="A53" s="196" t="s">
        <v>37</v>
      </c>
      <c r="B53" s="204"/>
      <c r="C53" s="197"/>
      <c r="D53" s="198"/>
      <c r="E53" s="199" t="e">
        <f>E49+E50+E51+E52</f>
        <v>#REF!</v>
      </c>
      <c r="F53" s="197"/>
      <c r="G53" s="200" t="e">
        <f>SUM(G49:G52)</f>
        <v>#REF!</v>
      </c>
      <c r="H53" s="201" t="e">
        <f>SUM(H49:H52)</f>
        <v>#REF!</v>
      </c>
      <c r="I53" s="202" t="s">
        <v>62</v>
      </c>
      <c r="J53" s="197"/>
      <c r="K53" s="203"/>
      <c r="L53" s="199" t="e">
        <f>L49</f>
        <v>#REF!</v>
      </c>
      <c r="M53" s="204"/>
      <c r="N53" s="200" t="e">
        <f>SUM(N13,N19,N30,N43,N46)</f>
        <v>#REF!</v>
      </c>
      <c r="O53" s="200" t="e">
        <f>SUM(O13,O19,O30,O43,O46)</f>
        <v>#REF!</v>
      </c>
    </row>
    <row r="54" spans="1:18" ht="15" customHeight="1" x14ac:dyDescent="0.15">
      <c r="A54" s="205"/>
      <c r="B54" s="206" t="s">
        <v>23</v>
      </c>
      <c r="C54" s="207"/>
      <c r="D54" s="208"/>
      <c r="E54" s="209" t="e">
        <f>G53</f>
        <v>#REF!</v>
      </c>
      <c r="F54" s="1136" t="s">
        <v>38</v>
      </c>
      <c r="G54" s="1137"/>
      <c r="H54" s="1137"/>
      <c r="I54" s="210"/>
      <c r="J54" s="211" t="s">
        <v>162</v>
      </c>
      <c r="K54" s="212"/>
      <c r="L54" s="209" t="e">
        <f>N53</f>
        <v>#REF!</v>
      </c>
      <c r="M54" s="1136" t="s">
        <v>38</v>
      </c>
      <c r="N54" s="1137"/>
      <c r="O54" s="1138"/>
      <c r="P54" s="17"/>
      <c r="Q54" s="17"/>
      <c r="R54" s="17"/>
    </row>
    <row r="55" spans="1:18" ht="15" customHeight="1" x14ac:dyDescent="0.15">
      <c r="A55" s="213"/>
      <c r="B55" s="206" t="s">
        <v>24</v>
      </c>
      <c r="C55" s="207"/>
      <c r="D55" s="208"/>
      <c r="E55" s="209" t="e">
        <f>H53</f>
        <v>#REF!</v>
      </c>
      <c r="F55" s="1136" t="s">
        <v>38</v>
      </c>
      <c r="G55" s="1137"/>
      <c r="H55" s="1137"/>
      <c r="I55" s="214"/>
      <c r="J55" s="211" t="s">
        <v>163</v>
      </c>
      <c r="K55" s="212"/>
      <c r="L55" s="209" t="e">
        <f>O53</f>
        <v>#REF!</v>
      </c>
      <c r="M55" s="1136" t="s">
        <v>38</v>
      </c>
      <c r="N55" s="1137"/>
      <c r="O55" s="1138"/>
      <c r="P55" s="17"/>
      <c r="Q55" s="17"/>
      <c r="R55" s="17"/>
    </row>
    <row r="56" spans="1:18" x14ac:dyDescent="0.15">
      <c r="A56" s="1139" t="s">
        <v>353</v>
      </c>
      <c r="B56" s="1139"/>
      <c r="C56" s="1139"/>
      <c r="D56" s="1139"/>
      <c r="E56" s="1139"/>
      <c r="F56" s="1139"/>
      <c r="G56" s="1139"/>
      <c r="H56" s="1139"/>
      <c r="I56" s="1139"/>
      <c r="J56" s="1139"/>
      <c r="K56" s="1139"/>
      <c r="L56" s="1139"/>
      <c r="M56" s="1139"/>
      <c r="N56" s="1139"/>
      <c r="O56" s="1139"/>
      <c r="P56" s="560"/>
    </row>
    <row r="57" spans="1:18" x14ac:dyDescent="0.15">
      <c r="A57" s="560"/>
      <c r="B57" s="560"/>
      <c r="C57" s="560"/>
      <c r="D57" s="560"/>
      <c r="E57" s="560"/>
      <c r="F57" s="560"/>
      <c r="G57" s="560"/>
      <c r="H57" s="560"/>
      <c r="I57" s="560"/>
      <c r="J57" s="560"/>
      <c r="K57" s="560"/>
      <c r="L57" s="560"/>
      <c r="M57" s="560"/>
      <c r="N57" s="561"/>
      <c r="O57" s="560"/>
      <c r="P57" s="560"/>
    </row>
    <row r="58" spans="1:18" x14ac:dyDescent="0.15">
      <c r="A58" s="560"/>
      <c r="B58" s="560"/>
      <c r="C58" s="560"/>
      <c r="D58" s="560"/>
      <c r="E58" s="560"/>
      <c r="F58" s="560"/>
      <c r="G58" s="560"/>
      <c r="H58" s="560"/>
      <c r="I58" s="560"/>
      <c r="J58" s="560"/>
      <c r="K58" s="560"/>
      <c r="L58" s="560"/>
      <c r="M58" s="560"/>
      <c r="N58" s="561"/>
      <c r="O58" s="560"/>
      <c r="P58" s="560"/>
    </row>
    <row r="59" spans="1:18" x14ac:dyDescent="0.15">
      <c r="N59" s="16"/>
    </row>
  </sheetData>
  <mergeCells count="46">
    <mergeCell ref="A56:O56"/>
    <mergeCell ref="A52:B52"/>
    <mergeCell ref="I52:K52"/>
    <mergeCell ref="F54:H54"/>
    <mergeCell ref="M54:O54"/>
    <mergeCell ref="F55:H55"/>
    <mergeCell ref="M55:O55"/>
    <mergeCell ref="O34:O36"/>
    <mergeCell ref="I37:I39"/>
    <mergeCell ref="J37:J39"/>
    <mergeCell ref="K37:K39"/>
    <mergeCell ref="L37:L39"/>
    <mergeCell ref="M37:M39"/>
    <mergeCell ref="N37:N39"/>
    <mergeCell ref="O37:O39"/>
    <mergeCell ref="K31:K33"/>
    <mergeCell ref="A51:B51"/>
    <mergeCell ref="I51:K51"/>
    <mergeCell ref="A48:B48"/>
    <mergeCell ref="A47:B47"/>
    <mergeCell ref="A44:A46"/>
    <mergeCell ref="A49:B49"/>
    <mergeCell ref="I49:K49"/>
    <mergeCell ref="A50:B50"/>
    <mergeCell ref="I50:K50"/>
    <mergeCell ref="R3:S3"/>
    <mergeCell ref="A14:A19"/>
    <mergeCell ref="A20:A30"/>
    <mergeCell ref="A31:A42"/>
    <mergeCell ref="I31:I33"/>
    <mergeCell ref="J31:J33"/>
    <mergeCell ref="L31:L33"/>
    <mergeCell ref="M31:M33"/>
    <mergeCell ref="N31:N33"/>
    <mergeCell ref="O31:O33"/>
    <mergeCell ref="I34:I36"/>
    <mergeCell ref="J34:J36"/>
    <mergeCell ref="K34:K36"/>
    <mergeCell ref="L34:L36"/>
    <mergeCell ref="M34:M36"/>
    <mergeCell ref="N34:N36"/>
    <mergeCell ref="A5:A13"/>
    <mergeCell ref="M1:O1"/>
    <mergeCell ref="B3:H3"/>
    <mergeCell ref="I3:O3"/>
    <mergeCell ref="P3:Q3"/>
  </mergeCells>
  <phoneticPr fontId="2"/>
  <printOptions horizontalCentered="1" verticalCentered="1"/>
  <pageMargins left="0.35433070866141736" right="0.35433070866141736" top="0.39370078740157483" bottom="0.39370078740157483" header="0.31496062992125984" footer="0.31496062992125984"/>
  <pageSetup paperSize="8" orientation="landscape" r:id="rId1"/>
  <headerFooter alignWithMargins="0"/>
  <ignoredErrors>
    <ignoredError sqref="E51 N22 G19"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39997558519241921"/>
    <pageSetUpPr fitToPage="1"/>
  </sheetPr>
  <dimension ref="A1:O71"/>
  <sheetViews>
    <sheetView workbookViewId="0"/>
  </sheetViews>
  <sheetFormatPr defaultRowHeight="13.5" x14ac:dyDescent="0.15"/>
  <cols>
    <col min="1" max="1" width="1.125" customWidth="1"/>
    <col min="2" max="2" width="2.75" customWidth="1"/>
    <col min="3" max="3" width="16.25" customWidth="1"/>
    <col min="4" max="8" width="8" customWidth="1"/>
    <col min="9" max="9" width="7.75" customWidth="1"/>
    <col min="10" max="10" width="10.5" customWidth="1"/>
    <col min="11" max="11" width="9.5" customWidth="1"/>
    <col min="12" max="12" width="8" customWidth="1"/>
    <col min="13" max="13" width="2.125" customWidth="1"/>
    <col min="15" max="15" width="2.75" customWidth="1"/>
    <col min="16" max="16" width="14.75" customWidth="1"/>
  </cols>
  <sheetData>
    <row r="1" spans="1:15" ht="16.5" customHeight="1" x14ac:dyDescent="0.15">
      <c r="A1" s="387" t="s">
        <v>425</v>
      </c>
      <c r="B1" s="407"/>
      <c r="C1" s="407"/>
      <c r="D1" s="407"/>
      <c r="E1" s="407"/>
      <c r="F1" s="407"/>
      <c r="G1" s="407"/>
      <c r="H1" s="407"/>
      <c r="I1" s="407"/>
      <c r="J1" s="407"/>
      <c r="K1" s="1202">
        <f ca="1">TODAY()</f>
        <v>45398</v>
      </c>
      <c r="L1" s="1202"/>
      <c r="M1" s="1202"/>
    </row>
    <row r="3" spans="1:15" x14ac:dyDescent="0.15">
      <c r="B3" s="14" t="s">
        <v>41</v>
      </c>
    </row>
    <row r="4" spans="1:15" ht="6.95" customHeight="1" x14ac:dyDescent="0.15">
      <c r="B4" s="249"/>
      <c r="C4" s="20"/>
      <c r="D4" s="20"/>
      <c r="E4" s="20"/>
      <c r="F4" s="20"/>
      <c r="G4" s="20"/>
      <c r="H4" s="20"/>
      <c r="I4" s="20"/>
      <c r="J4" s="20"/>
      <c r="K4" s="250"/>
    </row>
    <row r="5" spans="1:15" ht="12" customHeight="1" x14ac:dyDescent="0.15">
      <c r="B5" s="1203"/>
      <c r="C5" s="1105"/>
      <c r="D5" s="1194" t="s">
        <v>42</v>
      </c>
      <c r="E5" s="1194"/>
      <c r="F5" s="1194" t="s">
        <v>43</v>
      </c>
      <c r="G5" s="1194"/>
      <c r="H5" s="1194" t="s">
        <v>173</v>
      </c>
      <c r="I5" s="1194"/>
      <c r="J5" s="1194" t="s">
        <v>44</v>
      </c>
      <c r="K5" s="1204"/>
      <c r="L5" s="1"/>
    </row>
    <row r="6" spans="1:15" ht="18.75" customHeight="1" x14ac:dyDescent="0.15">
      <c r="B6" s="1193" t="s">
        <v>66</v>
      </c>
      <c r="C6" s="1194"/>
      <c r="D6" s="17" t="e">
        <f>'事業費D(還付・緊促・充100%・ホ補助有)'!G53</f>
        <v>#REF!</v>
      </c>
      <c r="E6" s="251" t="s">
        <v>68</v>
      </c>
      <c r="F6" s="17" t="e">
        <f>'事業費D(還付・緊促・充100%・ホ補助有)'!N53</f>
        <v>#REF!</v>
      </c>
      <c r="G6" s="251" t="s">
        <v>58</v>
      </c>
      <c r="H6" s="252" t="e">
        <f>#REF!</f>
        <v>#REF!</v>
      </c>
      <c r="I6" s="251" t="s">
        <v>59</v>
      </c>
      <c r="J6" s="253" t="e">
        <f>D6-F6+H6</f>
        <v>#REF!</v>
      </c>
      <c r="K6" s="254" t="s">
        <v>45</v>
      </c>
      <c r="L6" s="253"/>
    </row>
    <row r="7" spans="1:15" ht="18.75" customHeight="1" x14ac:dyDescent="0.15">
      <c r="B7" s="1193" t="s">
        <v>67</v>
      </c>
      <c r="C7" s="1194"/>
      <c r="D7" s="17" t="e">
        <f>'事業費D(還付・緊促・充100%・ホ補助有)'!H53</f>
        <v>#REF!</v>
      </c>
      <c r="E7" s="251" t="s">
        <v>68</v>
      </c>
      <c r="F7" s="17" t="e">
        <f>'事業費D(還付・緊促・充100%・ホ補助有)'!O53</f>
        <v>#REF!</v>
      </c>
      <c r="G7" s="251" t="s">
        <v>58</v>
      </c>
      <c r="H7" s="255" t="e">
        <f>#REF!</f>
        <v>#REF!</v>
      </c>
      <c r="I7" s="251" t="s">
        <v>59</v>
      </c>
      <c r="J7" s="253" t="e">
        <f>D7-F7+H7</f>
        <v>#REF!</v>
      </c>
      <c r="K7" s="254" t="s">
        <v>45</v>
      </c>
      <c r="L7" s="253"/>
    </row>
    <row r="8" spans="1:15" ht="6.95" customHeight="1" x14ac:dyDescent="0.15">
      <c r="B8" s="256"/>
      <c r="C8" s="27"/>
      <c r="D8" s="257"/>
      <c r="E8" s="258"/>
      <c r="F8" s="257"/>
      <c r="G8" s="258"/>
      <c r="H8" s="258"/>
      <c r="I8" s="258"/>
      <c r="J8" s="259"/>
      <c r="K8" s="260"/>
      <c r="L8" s="253"/>
    </row>
    <row r="9" spans="1:15" ht="15" customHeight="1" x14ac:dyDescent="0.15"/>
    <row r="10" spans="1:15" ht="15" customHeight="1" thickBot="1" x14ac:dyDescent="0.2">
      <c r="B10" s="14" t="s">
        <v>60</v>
      </c>
      <c r="O10" s="261"/>
    </row>
    <row r="11" spans="1:15" ht="15" customHeight="1" x14ac:dyDescent="0.15">
      <c r="B11" s="1195"/>
      <c r="C11" s="1196"/>
      <c r="D11" s="53" t="s">
        <v>108</v>
      </c>
      <c r="E11" s="280" t="s">
        <v>119</v>
      </c>
      <c r="F11" s="285" t="s">
        <v>27</v>
      </c>
      <c r="G11" s="65" t="s">
        <v>110</v>
      </c>
      <c r="H11" s="1199" t="s">
        <v>54</v>
      </c>
    </row>
    <row r="12" spans="1:15" ht="15" customHeight="1" thickBot="1" x14ac:dyDescent="0.2">
      <c r="B12" s="1197"/>
      <c r="C12" s="1198"/>
      <c r="D12" s="54"/>
      <c r="E12" s="88"/>
      <c r="F12" s="274"/>
      <c r="G12" s="66"/>
      <c r="H12" s="1200"/>
    </row>
    <row r="13" spans="1:15" ht="15" customHeight="1" thickTop="1" x14ac:dyDescent="0.15">
      <c r="B13" s="42"/>
      <c r="C13" s="36" t="s">
        <v>83</v>
      </c>
      <c r="D13" s="55" t="e">
        <f>#REF!</f>
        <v>#REF!</v>
      </c>
      <c r="E13" s="281" t="e">
        <f>#REF!</f>
        <v>#REF!</v>
      </c>
      <c r="F13" s="275" t="e">
        <f>#REF!</f>
        <v>#REF!</v>
      </c>
      <c r="G13" s="67" t="e">
        <f>#REF!</f>
        <v>#REF!</v>
      </c>
      <c r="H13" s="41" t="e">
        <f>SUM(D13:G13)</f>
        <v>#REF!</v>
      </c>
    </row>
    <row r="14" spans="1:15" ht="15" customHeight="1" x14ac:dyDescent="0.15">
      <c r="B14" s="42"/>
      <c r="C14" s="36" t="s">
        <v>46</v>
      </c>
      <c r="D14" s="56" t="e">
        <f>D15/D13</f>
        <v>#REF!</v>
      </c>
      <c r="E14" s="282" t="e">
        <f>E15/E13</f>
        <v>#REF!</v>
      </c>
      <c r="F14" s="286" t="e">
        <f>F15/F13</f>
        <v>#REF!</v>
      </c>
      <c r="G14" s="68" t="e">
        <f>G15/G13</f>
        <v>#REF!</v>
      </c>
      <c r="H14" s="43" t="e">
        <f>H15/H13</f>
        <v>#REF!</v>
      </c>
    </row>
    <row r="15" spans="1:15" ht="15" customHeight="1" x14ac:dyDescent="0.15">
      <c r="B15" s="40"/>
      <c r="C15" s="35" t="s">
        <v>47</v>
      </c>
      <c r="D15" s="57" t="e">
        <f>#REF!</f>
        <v>#REF!</v>
      </c>
      <c r="E15" s="89" t="e">
        <f>#REF!</f>
        <v>#REF!</v>
      </c>
      <c r="F15" s="287" t="e">
        <f>#REF!</f>
        <v>#REF!</v>
      </c>
      <c r="G15" s="69" t="e">
        <f>#REF!+#REF!+#REF!</f>
        <v>#REF!</v>
      </c>
      <c r="H15" s="44" t="e">
        <f>SUM(D15:F15)</f>
        <v>#REF!</v>
      </c>
    </row>
    <row r="16" spans="1:15" ht="15" customHeight="1" x14ac:dyDescent="0.15">
      <c r="B16" s="1188" t="s">
        <v>48</v>
      </c>
      <c r="C16" s="388" t="s">
        <v>331</v>
      </c>
      <c r="D16" s="58">
        <v>100</v>
      </c>
      <c r="E16" s="776">
        <v>19</v>
      </c>
      <c r="F16" s="777">
        <v>19</v>
      </c>
      <c r="G16" s="70">
        <v>0</v>
      </c>
      <c r="H16" s="37"/>
    </row>
    <row r="17" spans="2:12" ht="15" customHeight="1" x14ac:dyDescent="0.15">
      <c r="B17" s="1189"/>
      <c r="C17" s="38" t="s">
        <v>57</v>
      </c>
      <c r="D17" s="59" t="e">
        <f>D15*D16</f>
        <v>#REF!</v>
      </c>
      <c r="E17" s="272" t="e">
        <f>E15*E16</f>
        <v>#REF!</v>
      </c>
      <c r="F17" s="279" t="e">
        <f>F15*F16</f>
        <v>#REF!</v>
      </c>
      <c r="G17" s="71" t="e">
        <f>G16*G15</f>
        <v>#REF!</v>
      </c>
      <c r="H17" s="45" t="e">
        <f>SUM(D17:F17)</f>
        <v>#REF!</v>
      </c>
    </row>
    <row r="18" spans="2:12" ht="15" customHeight="1" x14ac:dyDescent="0.15">
      <c r="B18" s="1189"/>
      <c r="C18" s="38" t="s">
        <v>82</v>
      </c>
      <c r="D18" s="60" t="e">
        <f>D17/$H$17</f>
        <v>#REF!</v>
      </c>
      <c r="E18" s="91" t="e">
        <f>E17/$H$17</f>
        <v>#REF!</v>
      </c>
      <c r="F18" s="288" t="e">
        <f>F17/$H$17</f>
        <v>#REF!</v>
      </c>
      <c r="G18" s="72" t="e">
        <f>G17/H17</f>
        <v>#REF!</v>
      </c>
      <c r="H18" s="46" t="e">
        <f>SUM(D18:F18)</f>
        <v>#REF!</v>
      </c>
    </row>
    <row r="19" spans="2:12" ht="15" customHeight="1" x14ac:dyDescent="0.15">
      <c r="B19" s="1189"/>
      <c r="C19" s="38" t="s">
        <v>49</v>
      </c>
      <c r="D19" s="59" t="e">
        <f>D18*$H$19</f>
        <v>#REF!</v>
      </c>
      <c r="E19" s="272" t="e">
        <f>E18*$H$19</f>
        <v>#REF!</v>
      </c>
      <c r="F19" s="279" t="e">
        <f>F18*$H$19</f>
        <v>#REF!</v>
      </c>
      <c r="G19" s="73" t="e">
        <f>G18*$H$19</f>
        <v>#REF!</v>
      </c>
      <c r="H19" s="47" t="e">
        <f>J6*1000</f>
        <v>#REF!</v>
      </c>
    </row>
    <row r="20" spans="2:12" ht="15" customHeight="1" x14ac:dyDescent="0.15">
      <c r="B20" s="1201"/>
      <c r="C20" s="39" t="s">
        <v>50</v>
      </c>
      <c r="D20" s="61" t="e">
        <f>D19/D15</f>
        <v>#REF!</v>
      </c>
      <c r="E20" s="283" t="e">
        <f>E19/E15</f>
        <v>#REF!</v>
      </c>
      <c r="F20" s="289" t="e">
        <f>F19/F15</f>
        <v>#REF!</v>
      </c>
      <c r="G20" s="74" t="str">
        <f>IF(ISERROR(G19/F15),"0",G19/F15)</f>
        <v>0</v>
      </c>
      <c r="H20" s="48" t="e">
        <f>H19/H15</f>
        <v>#REF!</v>
      </c>
    </row>
    <row r="21" spans="2:12" ht="15" customHeight="1" x14ac:dyDescent="0.15">
      <c r="B21" s="1188" t="s">
        <v>51</v>
      </c>
      <c r="C21" s="37" t="s">
        <v>81</v>
      </c>
      <c r="D21" s="62" t="e">
        <f>#REF!*0.3025*#REF!/1000+#REF!/3</f>
        <v>#REF!</v>
      </c>
      <c r="E21" s="284" t="e">
        <f>#REF!+(#REF!+#REF!)*0.3025*#REF!/1000+#REF!*2/3</f>
        <v>#REF!</v>
      </c>
      <c r="F21" s="290" t="e">
        <f>#REF!*0.3025*#REF!/1000+#REF!+#REF!</f>
        <v>#REF!</v>
      </c>
      <c r="G21" s="75">
        <v>0</v>
      </c>
      <c r="H21" s="49" t="e">
        <f>SUM(D21:G21)</f>
        <v>#REF!</v>
      </c>
    </row>
    <row r="22" spans="2:12" ht="15" customHeight="1" x14ac:dyDescent="0.15">
      <c r="B22" s="1189"/>
      <c r="C22" s="38" t="s">
        <v>52</v>
      </c>
      <c r="D22" s="60" t="e">
        <f>D21/$H$21</f>
        <v>#REF!</v>
      </c>
      <c r="E22" s="91" t="e">
        <f>E21/$H$21</f>
        <v>#REF!</v>
      </c>
      <c r="F22" s="276" t="e">
        <f>F21/$H$21</f>
        <v>#REF!</v>
      </c>
      <c r="G22" s="76" t="e">
        <f>G21/H21</f>
        <v>#REF!</v>
      </c>
      <c r="H22" s="46" t="e">
        <f>SUM(D22:G22)</f>
        <v>#REF!</v>
      </c>
    </row>
    <row r="23" spans="2:12" ht="15" customHeight="1" x14ac:dyDescent="0.15">
      <c r="B23" s="1189"/>
      <c r="C23" s="38" t="s">
        <v>53</v>
      </c>
      <c r="D23" s="59" t="e">
        <f>D22*$H$23</f>
        <v>#REF!</v>
      </c>
      <c r="E23" s="272" t="e">
        <f>E22*$H$23</f>
        <v>#REF!</v>
      </c>
      <c r="F23" s="279" t="e">
        <f>F22*$H$23</f>
        <v>#REF!</v>
      </c>
      <c r="G23" s="73" t="e">
        <f>G22*$H$23</f>
        <v>#REF!</v>
      </c>
      <c r="H23" s="47" t="e">
        <f>J7*1000</f>
        <v>#REF!</v>
      </c>
    </row>
    <row r="24" spans="2:12" ht="15" customHeight="1" thickBot="1" x14ac:dyDescent="0.2">
      <c r="B24" s="1189"/>
      <c r="C24" s="38" t="s">
        <v>50</v>
      </c>
      <c r="D24" s="59" t="e">
        <f>D23/D15</f>
        <v>#REF!</v>
      </c>
      <c r="E24" s="90" t="e">
        <f>E23/E15</f>
        <v>#REF!</v>
      </c>
      <c r="F24" s="279" t="e">
        <f>F23/F15</f>
        <v>#REF!</v>
      </c>
      <c r="G24" s="73" t="str">
        <f>IF(ISERROR(G23/F15),"0",G23/F15)</f>
        <v>0</v>
      </c>
      <c r="H24" s="45" t="e">
        <f>H23/H15</f>
        <v>#REF!</v>
      </c>
    </row>
    <row r="25" spans="2:12" ht="15" customHeight="1" x14ac:dyDescent="0.15">
      <c r="B25" s="1190" t="s">
        <v>54</v>
      </c>
      <c r="C25" s="271" t="s">
        <v>55</v>
      </c>
      <c r="D25" s="63" t="e">
        <f>D19+D23</f>
        <v>#REF!</v>
      </c>
      <c r="E25" s="92" t="e">
        <f>E19+E23</f>
        <v>#REF!</v>
      </c>
      <c r="F25" s="278" t="e">
        <f>F19+F23</f>
        <v>#REF!</v>
      </c>
      <c r="G25" s="77" t="e">
        <f>G19+G23</f>
        <v>#REF!</v>
      </c>
      <c r="H25" s="50" t="e">
        <f>SUM(D25:G25)</f>
        <v>#REF!</v>
      </c>
    </row>
    <row r="26" spans="2:12" ht="15" customHeight="1" x14ac:dyDescent="0.15">
      <c r="B26" s="1189"/>
      <c r="C26" s="38" t="s">
        <v>50</v>
      </c>
      <c r="D26" s="59" t="e">
        <f>D25/D15</f>
        <v>#REF!</v>
      </c>
      <c r="E26" s="272" t="e">
        <f>E25/E15</f>
        <v>#REF!</v>
      </c>
      <c r="F26" s="279" t="e">
        <f>F25/F15</f>
        <v>#REF!</v>
      </c>
      <c r="G26" s="73" t="str">
        <f>IF(ISERROR(G25/F15),"0",G25/F15)</f>
        <v>0</v>
      </c>
      <c r="H26" s="45" t="e">
        <f>H25/H15</f>
        <v>#REF!</v>
      </c>
    </row>
    <row r="27" spans="2:12" ht="15" customHeight="1" thickBot="1" x14ac:dyDescent="0.2">
      <c r="B27" s="1191"/>
      <c r="C27" s="51" t="s">
        <v>56</v>
      </c>
      <c r="D27" s="775" t="e">
        <f>D26/0.3025</f>
        <v>#REF!</v>
      </c>
      <c r="E27" s="273" t="e">
        <f>E26/0.3025</f>
        <v>#REF!</v>
      </c>
      <c r="F27" s="277" t="e">
        <f>F26/0.3025</f>
        <v>#REF!</v>
      </c>
      <c r="G27" s="78">
        <f>G26/0.3025</f>
        <v>0</v>
      </c>
      <c r="H27" s="52" t="e">
        <f>H26/0.3025</f>
        <v>#REF!</v>
      </c>
    </row>
    <row r="28" spans="2:12" ht="15" hidden="1" customHeight="1" x14ac:dyDescent="0.15">
      <c r="B28" s="665"/>
      <c r="C28" s="1"/>
      <c r="D28" s="667"/>
      <c r="E28" s="667"/>
      <c r="F28" s="667"/>
      <c r="G28" s="667"/>
      <c r="H28" s="666"/>
    </row>
    <row r="29" spans="2:12" ht="15" hidden="1" customHeight="1" thickBot="1" x14ac:dyDescent="0.2">
      <c r="B29" s="633" t="s">
        <v>392</v>
      </c>
      <c r="C29" s="1"/>
      <c r="D29" s="17"/>
      <c r="E29" s="17"/>
      <c r="F29" s="17"/>
      <c r="G29" s="17"/>
      <c r="H29" s="17"/>
    </row>
    <row r="30" spans="2:12" ht="15" hidden="1" customHeight="1" x14ac:dyDescent="0.15">
      <c r="B30" s="1190" t="s">
        <v>54</v>
      </c>
      <c r="C30" s="271" t="s">
        <v>55</v>
      </c>
      <c r="D30" s="63" t="e">
        <f>H30-E30-F30</f>
        <v>#REF!</v>
      </c>
      <c r="E30" s="92" t="e">
        <f>E31*E15</f>
        <v>#REF!</v>
      </c>
      <c r="F30" s="278" t="e">
        <f>F31*F15</f>
        <v>#REF!</v>
      </c>
      <c r="G30" s="77" t="e">
        <f>G23+G27</f>
        <v>#REF!</v>
      </c>
      <c r="H30" s="50" t="e">
        <f>H25</f>
        <v>#REF!</v>
      </c>
      <c r="J30" s="717"/>
    </row>
    <row r="31" spans="2:12" ht="15" hidden="1" customHeight="1" x14ac:dyDescent="0.15">
      <c r="B31" s="1189"/>
      <c r="C31" s="38" t="s">
        <v>50</v>
      </c>
      <c r="D31" s="59" t="e">
        <f>D30/D15</f>
        <v>#REF!</v>
      </c>
      <c r="E31" s="272">
        <f>E32*0.3025</f>
        <v>544.5</v>
      </c>
      <c r="F31" s="279">
        <f>F32*0.3025</f>
        <v>605</v>
      </c>
      <c r="G31" s="73" t="str">
        <f>IF(ISERROR(G30/F19),"0",G30/F19)</f>
        <v>0</v>
      </c>
      <c r="H31" s="45" t="e">
        <f>H30/H15</f>
        <v>#REF!</v>
      </c>
    </row>
    <row r="32" spans="2:12" ht="15" hidden="1" customHeight="1" thickBot="1" x14ac:dyDescent="0.2">
      <c r="B32" s="1191"/>
      <c r="C32" s="51" t="s">
        <v>56</v>
      </c>
      <c r="D32" s="64" t="e">
        <f>D31/0.3025</f>
        <v>#REF!</v>
      </c>
      <c r="E32" s="273">
        <v>1800</v>
      </c>
      <c r="F32" s="277">
        <v>2000</v>
      </c>
      <c r="G32" s="78">
        <f>G31/0.3025</f>
        <v>0</v>
      </c>
      <c r="H32" s="52" t="e">
        <f>H31/0.3025</f>
        <v>#REF!</v>
      </c>
      <c r="I32" s="1"/>
      <c r="J32" s="1"/>
      <c r="K32" s="1"/>
      <c r="L32" s="1"/>
    </row>
    <row r="33" spans="2:12" ht="15" customHeight="1" x14ac:dyDescent="0.15">
      <c r="B33" s="665"/>
      <c r="C33" s="1"/>
      <c r="D33" s="667"/>
      <c r="E33" s="667"/>
      <c r="F33" s="667"/>
      <c r="G33" s="667"/>
      <c r="H33" s="666"/>
      <c r="I33" s="1"/>
      <c r="J33" s="1"/>
      <c r="K33" s="1"/>
      <c r="L33" s="1"/>
    </row>
    <row r="34" spans="2:12" ht="15" customHeight="1" x14ac:dyDescent="0.15">
      <c r="B34" s="14" t="s">
        <v>384</v>
      </c>
    </row>
    <row r="35" spans="2:12" ht="15" customHeight="1" thickBot="1" x14ac:dyDescent="0.2">
      <c r="B35" s="705"/>
      <c r="C35" s="705" t="s">
        <v>385</v>
      </c>
      <c r="F35" s="705" t="s">
        <v>386</v>
      </c>
      <c r="H35" s="13"/>
      <c r="I35" s="705" t="s">
        <v>387</v>
      </c>
    </row>
    <row r="36" spans="2:12" ht="15" customHeight="1" x14ac:dyDescent="0.15">
      <c r="B36" s="1192" t="s">
        <v>388</v>
      </c>
      <c r="C36" s="1192"/>
      <c r="E36" s="1192" t="s">
        <v>389</v>
      </c>
      <c r="F36" s="1192"/>
      <c r="H36" s="1180" t="s">
        <v>391</v>
      </c>
      <c r="I36" s="1180"/>
      <c r="K36" s="1181" t="s">
        <v>390</v>
      </c>
      <c r="L36" s="1182"/>
    </row>
    <row r="37" spans="2:12" ht="15" customHeight="1" thickBot="1" x14ac:dyDescent="0.2">
      <c r="B37" s="1183">
        <v>15</v>
      </c>
      <c r="C37" s="1183"/>
      <c r="D37" s="32" t="s">
        <v>104</v>
      </c>
      <c r="E37" s="1184">
        <v>12</v>
      </c>
      <c r="F37" s="1184"/>
      <c r="G37" s="32" t="s">
        <v>109</v>
      </c>
      <c r="H37" s="1185" t="e">
        <f>D27</f>
        <v>#REF!</v>
      </c>
      <c r="I37" s="1184"/>
      <c r="J37" s="32" t="s">
        <v>75</v>
      </c>
      <c r="K37" s="1186" t="e">
        <f>B37*E37/H37</f>
        <v>#REF!</v>
      </c>
      <c r="L37" s="1187"/>
    </row>
    <row r="38" spans="2:12" ht="15" customHeight="1" x14ac:dyDescent="0.15">
      <c r="B38" s="1"/>
      <c r="C38" s="1"/>
      <c r="D38" s="1"/>
      <c r="E38" s="1"/>
      <c r="F38" s="1"/>
      <c r="G38" s="1"/>
      <c r="H38" s="1"/>
      <c r="I38" s="1"/>
      <c r="J38" s="1"/>
      <c r="K38" s="1"/>
      <c r="L38" s="1"/>
    </row>
    <row r="39" spans="2:12" ht="15" customHeight="1" x14ac:dyDescent="0.15">
      <c r="B39" s="14" t="s">
        <v>393</v>
      </c>
      <c r="C39" s="1"/>
      <c r="D39" s="1"/>
      <c r="E39" s="1"/>
      <c r="F39" s="1"/>
      <c r="G39" s="1"/>
      <c r="H39" s="1"/>
      <c r="I39" s="1"/>
      <c r="J39" s="1"/>
      <c r="K39" s="1"/>
      <c r="L39" s="1"/>
    </row>
    <row r="40" spans="2:12" ht="6.95" customHeight="1" x14ac:dyDescent="0.15">
      <c r="B40" s="270"/>
      <c r="C40" s="262"/>
      <c r="D40" s="262"/>
      <c r="E40" s="262"/>
      <c r="F40" s="262"/>
      <c r="G40" s="262"/>
      <c r="H40" s="262"/>
      <c r="I40" s="262"/>
      <c r="J40" s="262"/>
      <c r="K40" s="263"/>
      <c r="L40" s="13"/>
    </row>
    <row r="41" spans="2:12" ht="15" customHeight="1" x14ac:dyDescent="0.15">
      <c r="B41" s="22"/>
      <c r="C41" s="13" t="s">
        <v>69</v>
      </c>
      <c r="D41" s="13"/>
      <c r="E41" s="13"/>
      <c r="F41" s="13"/>
      <c r="G41" s="13"/>
      <c r="H41" s="13"/>
      <c r="I41" s="13"/>
      <c r="J41" s="13"/>
      <c r="K41" s="264"/>
      <c r="L41" s="13"/>
    </row>
    <row r="42" spans="2:12" ht="15" customHeight="1" x14ac:dyDescent="0.15">
      <c r="B42" s="22"/>
      <c r="C42" s="13" t="s">
        <v>70</v>
      </c>
      <c r="D42" s="13"/>
      <c r="E42" s="13"/>
      <c r="F42" s="13"/>
      <c r="G42" s="13"/>
      <c r="H42" s="13"/>
      <c r="I42" s="13"/>
      <c r="J42" s="660" t="e">
        <f>'事業費D(還付・緊促・充100%・ホ補助有)'!E53</f>
        <v>#REF!</v>
      </c>
      <c r="K42" s="266" t="s">
        <v>45</v>
      </c>
      <c r="L42" s="265"/>
    </row>
    <row r="43" spans="2:12" ht="15" customHeight="1" x14ac:dyDescent="0.15">
      <c r="B43" s="22"/>
      <c r="C43" s="13" t="s">
        <v>71</v>
      </c>
      <c r="D43" s="13"/>
      <c r="E43" s="13"/>
      <c r="F43" s="13"/>
      <c r="G43" s="13"/>
      <c r="H43" s="13"/>
      <c r="I43" s="13"/>
      <c r="J43" s="13"/>
      <c r="K43" s="264"/>
      <c r="L43" s="13"/>
    </row>
    <row r="44" spans="2:12" ht="15" customHeight="1" x14ac:dyDescent="0.15">
      <c r="B44" s="22"/>
      <c r="C44" s="13" t="s">
        <v>72</v>
      </c>
      <c r="D44" s="13"/>
      <c r="E44" s="13"/>
      <c r="F44" s="13"/>
      <c r="G44" s="13"/>
      <c r="H44" s="13"/>
      <c r="I44" s="13"/>
      <c r="J44" s="660" t="e">
        <f>'事業費D(還付・緊促・充100%・ホ補助有)'!L53</f>
        <v>#REF!</v>
      </c>
      <c r="K44" s="266" t="s">
        <v>45</v>
      </c>
      <c r="L44" s="265"/>
    </row>
    <row r="45" spans="2:12" ht="15" customHeight="1" x14ac:dyDescent="0.15">
      <c r="B45" s="22"/>
      <c r="C45" s="13" t="s">
        <v>76</v>
      </c>
      <c r="D45" s="13" t="s">
        <v>77</v>
      </c>
      <c r="E45" s="13"/>
      <c r="F45" s="13"/>
      <c r="G45" s="13"/>
      <c r="H45" s="13"/>
      <c r="I45" s="13"/>
      <c r="J45" s="660"/>
      <c r="K45" s="266"/>
      <c r="L45" s="265"/>
    </row>
    <row r="46" spans="2:12" ht="15" customHeight="1" x14ac:dyDescent="0.15">
      <c r="B46" s="22"/>
      <c r="C46" s="13"/>
      <c r="D46" s="1175" t="e">
        <f>J42</f>
        <v>#REF!</v>
      </c>
      <c r="E46" s="1175"/>
      <c r="F46" s="23" t="s">
        <v>74</v>
      </c>
      <c r="G46" s="1176" t="e">
        <f>J44</f>
        <v>#REF!</v>
      </c>
      <c r="H46" s="1176"/>
      <c r="I46" s="23" t="s">
        <v>75</v>
      </c>
      <c r="J46" s="660" t="e">
        <f>D46-G46</f>
        <v>#REF!</v>
      </c>
      <c r="K46" s="266" t="s">
        <v>45</v>
      </c>
      <c r="L46" s="265"/>
    </row>
    <row r="47" spans="2:12" ht="15" customHeight="1" x14ac:dyDescent="0.15">
      <c r="B47" s="22"/>
      <c r="C47" s="694" t="s">
        <v>79</v>
      </c>
      <c r="D47" s="695" t="s">
        <v>80</v>
      </c>
      <c r="E47" s="696"/>
      <c r="F47" s="697"/>
      <c r="G47" s="698"/>
      <c r="H47" s="698"/>
      <c r="I47" s="697"/>
      <c r="J47" s="693"/>
      <c r="K47" s="268"/>
      <c r="L47" s="267"/>
    </row>
    <row r="48" spans="2:12" ht="15" customHeight="1" x14ac:dyDescent="0.15">
      <c r="B48" s="22"/>
      <c r="C48" s="694"/>
      <c r="D48" s="1177" t="e">
        <f>J46</f>
        <v>#REF!</v>
      </c>
      <c r="E48" s="1177"/>
      <c r="F48" s="697" t="s">
        <v>78</v>
      </c>
      <c r="G48" s="1178" t="e">
        <f>H6+H7</f>
        <v>#REF!</v>
      </c>
      <c r="H48" s="1178"/>
      <c r="I48" s="697" t="s">
        <v>75</v>
      </c>
      <c r="J48" s="693" t="e">
        <f>D48+G48</f>
        <v>#REF!</v>
      </c>
      <c r="K48" s="268" t="s">
        <v>45</v>
      </c>
      <c r="L48" s="267"/>
    </row>
    <row r="49" spans="2:12" ht="6.95" customHeight="1" x14ac:dyDescent="0.15">
      <c r="B49" s="132"/>
      <c r="C49" s="699"/>
      <c r="D49" s="700"/>
      <c r="E49" s="700"/>
      <c r="F49" s="701"/>
      <c r="G49" s="702"/>
      <c r="H49" s="702"/>
      <c r="I49" s="701"/>
      <c r="J49" s="703"/>
      <c r="K49" s="704"/>
      <c r="L49" s="267"/>
    </row>
    <row r="50" spans="2:12" ht="7.5" customHeight="1" x14ac:dyDescent="0.15">
      <c r="B50" s="269"/>
      <c r="C50" s="269"/>
      <c r="D50" s="269"/>
      <c r="E50" s="269"/>
      <c r="F50" s="269"/>
      <c r="G50" s="269"/>
      <c r="H50" s="269"/>
      <c r="I50" s="269"/>
      <c r="J50" s="269"/>
      <c r="K50" s="269"/>
      <c r="L50" s="14"/>
    </row>
    <row r="51" spans="2:12" x14ac:dyDescent="0.15">
      <c r="C51" s="14"/>
      <c r="D51" s="14"/>
      <c r="E51" s="14"/>
      <c r="F51" s="14"/>
      <c r="G51" s="14"/>
      <c r="H51" s="14"/>
      <c r="I51" s="14"/>
      <c r="J51" s="14"/>
      <c r="K51" s="14"/>
      <c r="L51" s="14"/>
    </row>
    <row r="52" spans="2:12" ht="13.5" customHeight="1" x14ac:dyDescent="0.15">
      <c r="B52" s="1169"/>
      <c r="C52" s="1169"/>
      <c r="D52" s="1169"/>
      <c r="E52" s="1179"/>
      <c r="F52" s="1170"/>
      <c r="G52" s="1170"/>
      <c r="H52" s="1169"/>
      <c r="I52" s="1169"/>
      <c r="J52" s="23"/>
    </row>
    <row r="53" spans="2:12" x14ac:dyDescent="0.15">
      <c r="B53" s="1169"/>
      <c r="C53" s="1169"/>
      <c r="D53" s="1169"/>
      <c r="E53" s="1169"/>
      <c r="F53" s="659"/>
      <c r="G53" s="659"/>
      <c r="H53" s="23"/>
      <c r="I53" s="23"/>
      <c r="J53" s="23"/>
    </row>
    <row r="54" spans="2:12" x14ac:dyDescent="0.15">
      <c r="B54" s="1172"/>
      <c r="C54" s="1172"/>
      <c r="D54" s="668"/>
      <c r="E54" s="669"/>
      <c r="F54" s="670"/>
      <c r="G54" s="670"/>
      <c r="H54" s="669"/>
      <c r="I54" s="669"/>
      <c r="J54" s="671"/>
    </row>
    <row r="55" spans="2:12" x14ac:dyDescent="0.15">
      <c r="B55" s="1173"/>
      <c r="C55" s="1173"/>
      <c r="D55" s="672"/>
      <c r="E55" s="673"/>
      <c r="F55" s="674"/>
      <c r="G55" s="674"/>
      <c r="H55" s="673"/>
      <c r="I55" s="673"/>
      <c r="J55" s="675"/>
    </row>
    <row r="56" spans="2:12" x14ac:dyDescent="0.15">
      <c r="B56" s="1174"/>
      <c r="C56" s="1174"/>
      <c r="D56" s="676"/>
      <c r="E56" s="677"/>
      <c r="F56" s="678"/>
      <c r="G56" s="678"/>
      <c r="H56" s="677"/>
      <c r="I56" s="677"/>
      <c r="J56" s="679"/>
    </row>
    <row r="57" spans="2:12" x14ac:dyDescent="0.15">
      <c r="B57" s="1169"/>
      <c r="C57" s="1169"/>
      <c r="D57" s="1169"/>
      <c r="E57" s="643"/>
      <c r="F57" s="664"/>
      <c r="G57" s="664"/>
      <c r="H57" s="643"/>
      <c r="I57" s="643"/>
      <c r="J57" s="13"/>
    </row>
    <row r="58" spans="2:12" x14ac:dyDescent="0.15">
      <c r="B58" s="1"/>
      <c r="D58" s="14"/>
      <c r="E58" s="24"/>
      <c r="F58" s="24"/>
      <c r="G58" s="14"/>
      <c r="H58" s="14"/>
      <c r="I58" s="14"/>
      <c r="J58" s="14"/>
      <c r="K58" s="28"/>
    </row>
    <row r="59" spans="2:12" x14ac:dyDescent="0.15">
      <c r="B59" s="1"/>
      <c r="D59" s="14"/>
      <c r="E59" s="24"/>
      <c r="F59" s="24"/>
      <c r="G59" s="14"/>
      <c r="H59" s="14"/>
      <c r="I59" s="14"/>
      <c r="J59" s="14"/>
      <c r="K59" s="28"/>
    </row>
    <row r="60" spans="2:12" x14ac:dyDescent="0.15">
      <c r="B60" s="1"/>
      <c r="D60" s="14"/>
      <c r="E60" s="24"/>
      <c r="F60" s="24"/>
      <c r="G60" s="14"/>
      <c r="H60" s="14"/>
      <c r="I60" s="14"/>
      <c r="J60" s="14"/>
      <c r="K60" s="28"/>
    </row>
    <row r="61" spans="2:12" x14ac:dyDescent="0.15">
      <c r="B61" s="1"/>
      <c r="D61" s="14"/>
      <c r="E61" s="24"/>
      <c r="F61" s="24"/>
      <c r="G61" s="14"/>
      <c r="H61" s="100"/>
      <c r="I61" s="14"/>
      <c r="J61" s="14"/>
      <c r="K61" s="28"/>
    </row>
    <row r="62" spans="2:12" x14ac:dyDescent="0.15">
      <c r="B62" s="1"/>
      <c r="D62" s="14"/>
      <c r="E62" s="24"/>
      <c r="F62" s="24"/>
      <c r="G62" s="14"/>
      <c r="H62" s="14"/>
      <c r="I62" s="14"/>
      <c r="J62" s="14"/>
      <c r="K62" s="28"/>
    </row>
    <row r="63" spans="2:12" x14ac:dyDescent="0.15">
      <c r="B63" s="1"/>
      <c r="D63" s="14"/>
      <c r="E63" s="24"/>
      <c r="F63" s="24"/>
      <c r="G63" s="14"/>
      <c r="H63" s="14"/>
      <c r="I63" s="14"/>
      <c r="J63" s="14"/>
      <c r="K63" s="28"/>
    </row>
    <row r="64" spans="2:12" x14ac:dyDescent="0.15">
      <c r="B64" s="13"/>
    </row>
    <row r="65" spans="2:14" x14ac:dyDescent="0.15">
      <c r="B65" s="1169"/>
      <c r="C65" s="1169"/>
      <c r="D65" s="1169"/>
      <c r="E65" s="1105"/>
      <c r="F65" s="1170"/>
      <c r="G65" s="1170"/>
      <c r="H65" s="1105"/>
      <c r="I65" s="1105"/>
      <c r="J65" s="1171"/>
      <c r="K65" s="1105"/>
      <c r="L65" s="1105"/>
      <c r="M65" s="1169"/>
    </row>
    <row r="66" spans="2:14" x14ac:dyDescent="0.15">
      <c r="B66" s="1169"/>
      <c r="C66" s="1169"/>
      <c r="D66" s="1169"/>
      <c r="E66" s="1105"/>
      <c r="F66" s="659"/>
      <c r="G66" s="659"/>
      <c r="H66" s="1105"/>
      <c r="I66" s="1105"/>
      <c r="J66" s="1105"/>
      <c r="M66" s="1169"/>
    </row>
    <row r="67" spans="2:14" x14ac:dyDescent="0.15">
      <c r="B67" s="1169"/>
      <c r="C67" s="1169"/>
      <c r="D67" s="23"/>
      <c r="F67" s="660"/>
      <c r="G67" s="660"/>
      <c r="H67" s="1105"/>
      <c r="I67" s="1105"/>
      <c r="J67" s="661"/>
      <c r="K67" s="661"/>
      <c r="L67" s="661"/>
      <c r="M67" s="662"/>
      <c r="N67" s="663"/>
    </row>
    <row r="68" spans="2:14" x14ac:dyDescent="0.15">
      <c r="B68" s="1169"/>
      <c r="C68" s="1169"/>
      <c r="D68" s="23"/>
      <c r="F68" s="660"/>
      <c r="G68" s="660"/>
      <c r="H68" s="1105"/>
      <c r="I68" s="1105"/>
      <c r="J68" s="661"/>
      <c r="K68" s="661"/>
      <c r="L68" s="661"/>
      <c r="M68" s="661"/>
    </row>
    <row r="69" spans="2:14" x14ac:dyDescent="0.15">
      <c r="B69" s="1169"/>
      <c r="C69" s="1169"/>
      <c r="D69" s="23"/>
      <c r="F69" s="660"/>
      <c r="G69" s="660"/>
      <c r="H69" s="1105"/>
      <c r="I69" s="1105"/>
      <c r="J69" s="661"/>
      <c r="K69" s="661"/>
      <c r="L69" s="661"/>
      <c r="M69" s="514"/>
    </row>
    <row r="70" spans="2:14" x14ac:dyDescent="0.15">
      <c r="B70" s="1169"/>
      <c r="C70" s="1169"/>
      <c r="D70" s="23"/>
      <c r="F70" s="660"/>
      <c r="G70" s="660"/>
      <c r="H70" s="1105"/>
      <c r="I70" s="1105"/>
      <c r="J70" s="661"/>
      <c r="K70" s="661"/>
      <c r="L70" s="661"/>
      <c r="M70" s="514"/>
    </row>
    <row r="71" spans="2:14" x14ac:dyDescent="0.15">
      <c r="B71" s="1169"/>
      <c r="C71" s="1169"/>
      <c r="D71" s="1169"/>
      <c r="F71" s="664"/>
      <c r="G71" s="664"/>
      <c r="H71" s="1105"/>
      <c r="I71" s="1105"/>
      <c r="J71" s="87"/>
      <c r="K71" s="661"/>
      <c r="L71" s="661"/>
    </row>
  </sheetData>
  <mergeCells count="53">
    <mergeCell ref="B71:D71"/>
    <mergeCell ref="H71:I71"/>
    <mergeCell ref="B36:C36"/>
    <mergeCell ref="E36:F36"/>
    <mergeCell ref="H36:I36"/>
    <mergeCell ref="B68:C68"/>
    <mergeCell ref="H68:I68"/>
    <mergeCell ref="B69:C69"/>
    <mergeCell ref="H69:I69"/>
    <mergeCell ref="B70:C70"/>
    <mergeCell ref="H70:I70"/>
    <mergeCell ref="F65:G65"/>
    <mergeCell ref="H65:I66"/>
    <mergeCell ref="B55:C55"/>
    <mergeCell ref="B56:C56"/>
    <mergeCell ref="B57:D57"/>
    <mergeCell ref="K36:L36"/>
    <mergeCell ref="B37:C37"/>
    <mergeCell ref="E37:F37"/>
    <mergeCell ref="H37:I37"/>
    <mergeCell ref="K37:L37"/>
    <mergeCell ref="J65:J66"/>
    <mergeCell ref="K65:L65"/>
    <mergeCell ref="M65:M66"/>
    <mergeCell ref="B67:C67"/>
    <mergeCell ref="H67:I67"/>
    <mergeCell ref="B65:C66"/>
    <mergeCell ref="D65:D66"/>
    <mergeCell ref="E65:E66"/>
    <mergeCell ref="B54:C54"/>
    <mergeCell ref="B25:B27"/>
    <mergeCell ref="B30:B32"/>
    <mergeCell ref="D46:E46"/>
    <mergeCell ref="G46:H46"/>
    <mergeCell ref="D48:E48"/>
    <mergeCell ref="G48:H48"/>
    <mergeCell ref="B52:C53"/>
    <mergeCell ref="D52:D53"/>
    <mergeCell ref="E52:E53"/>
    <mergeCell ref="F52:G52"/>
    <mergeCell ref="H52:I52"/>
    <mergeCell ref="B21:B24"/>
    <mergeCell ref="K1:M1"/>
    <mergeCell ref="B5:C5"/>
    <mergeCell ref="D5:E5"/>
    <mergeCell ref="F5:G5"/>
    <mergeCell ref="H5:I5"/>
    <mergeCell ref="J5:K5"/>
    <mergeCell ref="B6:C6"/>
    <mergeCell ref="B7:C7"/>
    <mergeCell ref="B11:C12"/>
    <mergeCell ref="H11:H12"/>
    <mergeCell ref="B16:B20"/>
  </mergeCells>
  <phoneticPr fontId="2"/>
  <pageMargins left="0.43307086614173229" right="0.23622047244094491" top="0.74803149606299213" bottom="0.74803149606299213" header="0.31496062992125984" footer="0.31496062992125984"/>
  <pageSetup paperSize="9" orientation="portrait" r:id="rId1"/>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300C5C49846F54CB97C026C8C5235F0" ma:contentTypeVersion="6" ma:contentTypeDescription="新しいドキュメントを作成します。" ma:contentTypeScope="" ma:versionID="77dd56f54cdb46c69640fe8b3229a4f0">
  <xsd:schema xmlns:xsd="http://www.w3.org/2001/XMLSchema" xmlns:xs="http://www.w3.org/2001/XMLSchema" xmlns:p="http://schemas.microsoft.com/office/2006/metadata/properties" xmlns:ns2="a8bfbc7d-4a6b-4a3a-8d32-7b51b8862414" targetNamespace="http://schemas.microsoft.com/office/2006/metadata/properties" ma:root="true" ma:fieldsID="3614b8498aa0ebf0f6b934e519842635" ns2:_="">
    <xsd:import namespace="a8bfbc7d-4a6b-4a3a-8d32-7b51b88624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fbc7d-4a6b-4a3a-8d32-7b51b88624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FABA5B-4A7C-4326-B42F-B367348C82CB}">
  <ds:schemaRefs>
    <ds:schemaRef ds:uri="http://schemas.microsoft.com/sharepoint/v3/contenttype/forms"/>
  </ds:schemaRefs>
</ds:datastoreItem>
</file>

<file path=customXml/itemProps2.xml><?xml version="1.0" encoding="utf-8"?>
<ds:datastoreItem xmlns:ds="http://schemas.openxmlformats.org/officeDocument/2006/customXml" ds:itemID="{CA92F903-9EDB-4D45-9604-DEA172087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bfbc7d-4a6b-4a3a-8d32-7b51b8862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7ABA32-F365-4FFC-B457-EF6772597E23}">
  <ds:schemaRefs>
    <ds:schemaRef ds:uri="a8bfbc7d-4a6b-4a3a-8d32-7b51b886241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0x010100A300C5C49846F54CB97C026C8C5235F0</vt:lpwstr>
  </property>
</Properties>
</file>